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C:\Users\Administrator\Downloads\"/>
    </mc:Choice>
  </mc:AlternateContent>
  <bookViews>
    <workbookView xWindow="0" yWindow="0" windowWidth="16392" windowHeight="5328" tabRatio="830" firstSheet="1" activeTab="5"/>
  </bookViews>
  <sheets>
    <sheet name="Hoja de Calculo_prueba (2)" sheetId="8" state="hidden" r:id="rId1"/>
    <sheet name="Resumen de Calculo" sheetId="2" r:id="rId2"/>
    <sheet name="Resumen de Calculo 2017" sheetId="21" state="hidden" r:id="rId3"/>
    <sheet name=" ERSEP " sheetId="29" r:id="rId4"/>
    <sheet name="INFORME" sheetId="42" r:id="rId5"/>
    <sheet name="Hoja Llave" sheetId="3" r:id="rId6"/>
    <sheet name="Resumen costos " sheetId="32" r:id="rId7"/>
    <sheet name="Facturas " sheetId="36" r:id="rId8"/>
    <sheet name="Vehículos" sheetId="40" r:id="rId9"/>
    <sheet name="Unidades" sheetId="23" r:id="rId10"/>
    <sheet name="Cantidades Fisicas" sheetId="17" state="hidden" r:id="rId11"/>
    <sheet name="FETAP_ASETAC +18%" sheetId="10" state="hidden" r:id="rId12"/>
    <sheet name="Facturasold" sheetId="11" state="hidden" r:id="rId13"/>
    <sheet name="Comentarios" sheetId="7" state="hidden" r:id="rId14"/>
    <sheet name="Hoja2" sheetId="18" state="hidden" r:id="rId15"/>
    <sheet name="2017" sheetId="16" state="hidden" r:id="rId16"/>
    <sheet name="Sueldo y patentes" sheetId="26" r:id="rId17"/>
    <sheet name="Criterios TBK HISTORICO " sheetId="25" r:id="rId18"/>
    <sheet name="INFO SECRETARIA" sheetId="39" r:id="rId19"/>
  </sheets>
  <externalReferences>
    <externalReference r:id="rId20"/>
    <externalReference r:id="rId21"/>
    <externalReference r:id="rId22"/>
    <externalReference r:id="rId23"/>
  </externalReferences>
  <definedNames>
    <definedName name="_xlnm._FilterDatabase" localSheetId="5" hidden="1">'Hoja Llave'!$A$2:$O$71</definedName>
    <definedName name="_xlnm.Print_Area" localSheetId="3">' ERSEP '!$A$1:$O$619</definedName>
    <definedName name="_xlnm.Print_Area" localSheetId="12">Facturasold!$A$1:$AJ$82</definedName>
    <definedName name="_xlnm.Print_Area" localSheetId="5">'Hoja Llave'!$A$1:$R$69</definedName>
    <definedName name="_xlnm.Print_Area" localSheetId="1">'Resumen de Calculo'!$B$1:$AD$68</definedName>
    <definedName name="_xlnm.Print_Area" localSheetId="2">'Resumen de Calculo 2017'!$B$1:$U$51</definedName>
    <definedName name="_xlnm.Print_Titles" localSheetId="5">'Hoja Llave'!$1:$2</definedName>
  </definedNames>
  <calcPr calcId="162913"/>
</workbook>
</file>

<file path=xl/calcChain.xml><?xml version="1.0" encoding="utf-8"?>
<calcChain xmlns="http://schemas.openxmlformats.org/spreadsheetml/2006/main">
  <c r="D73" i="39" l="1"/>
  <c r="D71" i="39"/>
  <c r="E69" i="39"/>
  <c r="D69" i="39"/>
  <c r="E68" i="39"/>
  <c r="D68" i="39"/>
  <c r="D66" i="39"/>
  <c r="B82" i="39" s="1"/>
  <c r="D42" i="39"/>
  <c r="B84" i="39"/>
  <c r="B73" i="39"/>
  <c r="B79" i="39" s="1"/>
  <c r="B69" i="39"/>
  <c r="H51" i="39"/>
  <c r="I50" i="39"/>
  <c r="H50" i="39"/>
  <c r="H49" i="39"/>
  <c r="D34" i="39"/>
  <c r="E34" i="39"/>
  <c r="D32" i="39"/>
  <c r="D41" i="39"/>
  <c r="H47" i="39"/>
  <c r="H46" i="39"/>
  <c r="E41" i="39"/>
  <c r="H43" i="39"/>
  <c r="D39" i="39"/>
  <c r="E43" i="39"/>
  <c r="E42" i="39"/>
  <c r="B39" i="39"/>
  <c r="D76" i="39" l="1"/>
  <c r="E70" i="39"/>
  <c r="B83" i="39"/>
  <c r="E66" i="39"/>
  <c r="B76" i="39"/>
  <c r="D37" i="39" l="1"/>
  <c r="E36" i="39"/>
  <c r="E35" i="39"/>
  <c r="E32" i="39"/>
  <c r="D35" i="39"/>
  <c r="F34" i="39"/>
  <c r="B15" i="39"/>
  <c r="N29" i="23"/>
  <c r="R24" i="32"/>
  <c r="T25" i="32"/>
  <c r="T24" i="32"/>
  <c r="Z24" i="32"/>
  <c r="R5" i="3"/>
  <c r="Z25" i="32" l="1"/>
  <c r="N21" i="40"/>
  <c r="O53" i="3"/>
  <c r="I32" i="40"/>
  <c r="E32" i="40"/>
  <c r="P19" i="40"/>
  <c r="O19" i="40"/>
  <c r="N19" i="40"/>
  <c r="M19" i="40"/>
  <c r="C32" i="40" l="1"/>
  <c r="E19" i="40"/>
  <c r="I19" i="40"/>
  <c r="M11" i="36" l="1"/>
  <c r="M13" i="36" s="1"/>
  <c r="K11" i="36"/>
  <c r="R6" i="3" l="1"/>
  <c r="R7" i="3"/>
  <c r="R9" i="3"/>
  <c r="R10" i="3"/>
  <c r="R11" i="3"/>
  <c r="R12" i="3"/>
  <c r="R17" i="3"/>
  <c r="R18" i="3"/>
  <c r="R19" i="3"/>
  <c r="R20" i="3"/>
  <c r="R21" i="3"/>
  <c r="R22" i="3"/>
  <c r="R24" i="3"/>
  <c r="R25" i="3"/>
  <c r="R31" i="3"/>
  <c r="R32" i="3"/>
  <c r="R37" i="3"/>
  <c r="R38" i="3"/>
  <c r="R39" i="3"/>
  <c r="R40" i="3"/>
  <c r="R43" i="3"/>
  <c r="R44" i="3"/>
  <c r="R45" i="3"/>
  <c r="R47" i="3"/>
  <c r="R48" i="3"/>
  <c r="R51" i="3"/>
  <c r="R53" i="3"/>
  <c r="H5" i="2" l="1"/>
  <c r="H13" i="2"/>
  <c r="H15" i="2"/>
  <c r="H21" i="2"/>
  <c r="H23" i="2"/>
  <c r="H28" i="2"/>
  <c r="H30" i="2"/>
  <c r="H37" i="2"/>
  <c r="H38" i="2"/>
  <c r="H67" i="2"/>
  <c r="H49" i="2" s="1"/>
  <c r="B49" i="39"/>
  <c r="B51" i="39"/>
  <c r="B42" i="39"/>
  <c r="O32" i="3"/>
  <c r="O48" i="3"/>
  <c r="K23" i="29"/>
  <c r="P10" i="42"/>
  <c r="D10" i="42"/>
  <c r="C16" i="29"/>
  <c r="AP6" i="42" l="1"/>
  <c r="B50" i="39"/>
  <c r="O60" i="3" l="1"/>
  <c r="H63" i="2" s="1"/>
  <c r="T23" i="32"/>
  <c r="O54" i="3"/>
  <c r="B45" i="39"/>
  <c r="O52" i="3" l="1"/>
  <c r="Z23" i="32"/>
  <c r="R54" i="3"/>
  <c r="R52" i="3"/>
  <c r="B35" i="39" l="1"/>
  <c r="R23" i="32"/>
  <c r="C20" i="36" l="1"/>
  <c r="C10" i="36" l="1"/>
  <c r="O39" i="3"/>
  <c r="O40" i="3"/>
  <c r="E82" i="36" l="1"/>
  <c r="E105" i="36"/>
  <c r="E116" i="36"/>
  <c r="E94" i="36"/>
  <c r="K71" i="36"/>
  <c r="G67" i="36"/>
  <c r="X5" i="26"/>
  <c r="V5" i="26"/>
  <c r="P5" i="26"/>
  <c r="R5" i="26"/>
  <c r="T5" i="26"/>
  <c r="W4" i="26"/>
  <c r="Q4" i="26"/>
  <c r="S4" i="26"/>
  <c r="U4" i="26"/>
  <c r="O4" i="26"/>
  <c r="I47" i="36"/>
  <c r="I46" i="36"/>
  <c r="Z54" i="3"/>
  <c r="I3" i="26" l="1"/>
  <c r="K3" i="26" s="1"/>
  <c r="H3" i="26"/>
  <c r="J10" i="36"/>
  <c r="J11" i="36" s="1"/>
  <c r="N21" i="32"/>
  <c r="L3" i="26" l="1"/>
  <c r="I4" i="26"/>
  <c r="B19" i="39" l="1"/>
  <c r="D12" i="23" l="1"/>
  <c r="O29" i="23"/>
  <c r="E167" i="36" l="1"/>
  <c r="M166" i="36"/>
  <c r="F166" i="36"/>
  <c r="E166" i="36"/>
  <c r="I167" i="36"/>
  <c r="D167" i="36"/>
  <c r="H167" i="36"/>
  <c r="C166" i="36"/>
  <c r="G166" i="36"/>
  <c r="I166" i="36"/>
  <c r="C164" i="36"/>
  <c r="C167" i="36" s="1"/>
  <c r="F164" i="36"/>
  <c r="F167" i="36" s="1"/>
  <c r="G164" i="36"/>
  <c r="G167" i="36" s="1"/>
  <c r="C127" i="36"/>
  <c r="J166" i="36" l="1"/>
  <c r="K166" i="36" s="1"/>
  <c r="K168" i="36" s="1"/>
  <c r="H4" i="26"/>
  <c r="K4" i="26" s="1"/>
  <c r="O33" i="23"/>
  <c r="O32" i="23"/>
  <c r="E170" i="36"/>
  <c r="C170" i="36"/>
  <c r="C142" i="36"/>
  <c r="J186" i="36"/>
  <c r="J188" i="36" s="1"/>
  <c r="C153" i="36" s="1"/>
  <c r="C157" i="36" s="1"/>
  <c r="C55" i="36"/>
  <c r="I67" i="36"/>
  <c r="C54" i="36"/>
  <c r="J13" i="36" l="1"/>
  <c r="F10" i="36"/>
  <c r="H10" i="36"/>
  <c r="I10" i="36"/>
  <c r="I11" i="36"/>
  <c r="I9" i="36"/>
  <c r="F9" i="36"/>
  <c r="H9" i="36"/>
  <c r="G170" i="36"/>
  <c r="C172" i="36" s="1"/>
  <c r="C13" i="36" s="1"/>
  <c r="C16" i="36" s="1"/>
  <c r="C173" i="36"/>
  <c r="E10" i="23" l="1"/>
  <c r="E11" i="23"/>
  <c r="K14" i="23"/>
  <c r="R29" i="23"/>
  <c r="S29" i="23"/>
  <c r="O36" i="32"/>
  <c r="P36" i="32" s="1"/>
  <c r="N21" i="39"/>
  <c r="N18" i="39"/>
  <c r="N17" i="39"/>
  <c r="N16" i="39"/>
  <c r="N8" i="39"/>
  <c r="N7" i="39"/>
  <c r="B13" i="39" l="1"/>
  <c r="C13" i="39" s="1"/>
  <c r="G4" i="23" s="1"/>
  <c r="B12" i="39"/>
  <c r="C12" i="39" s="1"/>
  <c r="G5" i="23" s="1"/>
  <c r="J34" i="25"/>
  <c r="G71" i="36"/>
  <c r="D4" i="23" l="1"/>
  <c r="H11" i="36"/>
  <c r="H13" i="36" s="1"/>
  <c r="C124" i="36"/>
  <c r="J28" i="32"/>
  <c r="J27" i="32"/>
  <c r="J28" i="40"/>
  <c r="C28" i="40"/>
  <c r="J19" i="40"/>
  <c r="H19" i="40"/>
  <c r="G19" i="40"/>
  <c r="F19" i="40"/>
  <c r="D19" i="40"/>
  <c r="C19" i="40"/>
  <c r="J11" i="40"/>
  <c r="H11" i="40"/>
  <c r="G11" i="40"/>
  <c r="F11" i="40"/>
  <c r="D11" i="40"/>
  <c r="C11" i="40"/>
  <c r="E44" i="36"/>
  <c r="E45" i="36"/>
  <c r="E46" i="36" s="1"/>
  <c r="K47" i="36" l="1"/>
  <c r="E47" i="36"/>
  <c r="J10" i="32"/>
  <c r="C57" i="36"/>
  <c r="C58" i="36" s="1"/>
  <c r="C12" i="36" s="1"/>
  <c r="G9" i="36"/>
  <c r="C67" i="36"/>
  <c r="G72" i="36"/>
  <c r="E67" i="36"/>
  <c r="I69" i="36" l="1"/>
  <c r="C60" i="36"/>
  <c r="O22" i="25"/>
  <c r="F24" i="25"/>
  <c r="H24" i="25"/>
  <c r="J24" i="25"/>
  <c r="O24" i="25" s="1"/>
  <c r="H22" i="25"/>
  <c r="F22" i="25"/>
  <c r="L28" i="23"/>
  <c r="G10" i="23"/>
  <c r="C8" i="36" l="1"/>
  <c r="J63" i="2"/>
  <c r="G10" i="36"/>
  <c r="G11" i="36" s="1"/>
  <c r="G13" i="36" s="1"/>
  <c r="I13" i="36"/>
  <c r="D24" i="25" l="1"/>
  <c r="C23" i="39"/>
  <c r="B23" i="39"/>
  <c r="O62" i="3" l="1"/>
  <c r="C185" i="36"/>
  <c r="C158" i="36"/>
  <c r="C143" i="36"/>
  <c r="C125" i="36"/>
  <c r="C130" i="36" s="1"/>
  <c r="C11" i="36" s="1"/>
  <c r="J67" i="2"/>
  <c r="J49" i="2" s="1"/>
  <c r="H28" i="32"/>
  <c r="H27" i="32"/>
  <c r="H25" i="32"/>
  <c r="H24" i="32"/>
  <c r="H23" i="32"/>
  <c r="H22" i="32"/>
  <c r="H20" i="32"/>
  <c r="H18" i="32"/>
  <c r="H17" i="32"/>
  <c r="H16" i="32"/>
  <c r="H14" i="32"/>
  <c r="H13" i="32"/>
  <c r="H11" i="32"/>
  <c r="H10" i="32"/>
  <c r="H7" i="32"/>
  <c r="H5" i="32"/>
  <c r="B191" i="36" l="1"/>
  <c r="B201" i="36" s="1"/>
  <c r="O4" i="3" s="1"/>
  <c r="J22" i="32"/>
  <c r="H9" i="32"/>
  <c r="H12" i="32"/>
  <c r="O8" i="3" l="1"/>
  <c r="O27" i="3"/>
  <c r="L14" i="23"/>
  <c r="J65" i="2" l="1"/>
  <c r="R27" i="3"/>
  <c r="AP7" i="42"/>
  <c r="H65" i="2"/>
  <c r="D22" i="25"/>
  <c r="J41" i="2"/>
  <c r="H41" i="2" s="1"/>
  <c r="D11" i="23"/>
  <c r="D10" i="23"/>
  <c r="D16" i="23" s="1"/>
  <c r="K16" i="29"/>
  <c r="O64" i="3"/>
  <c r="BF7" i="42" l="1"/>
  <c r="AT6" i="42"/>
  <c r="N47" i="2"/>
  <c r="K28" i="23" l="1"/>
  <c r="O63" i="3" s="1"/>
  <c r="C11" i="39"/>
  <c r="K29" i="23" l="1"/>
  <c r="L29" i="23"/>
  <c r="J127" i="29"/>
  <c r="O16" i="25"/>
  <c r="O18" i="25"/>
  <c r="J20" i="25"/>
  <c r="O20" i="25" s="1"/>
  <c r="D12" i="25"/>
  <c r="D5" i="23"/>
  <c r="D17" i="23" s="1"/>
  <c r="F12" i="23"/>
  <c r="H12" i="23"/>
  <c r="J14" i="32"/>
  <c r="J11" i="32"/>
  <c r="J9" i="32" s="1"/>
  <c r="O14" i="3" s="1"/>
  <c r="R14" i="3" s="1"/>
  <c r="J13" i="32"/>
  <c r="J12" i="32" s="1"/>
  <c r="O15" i="3" s="1"/>
  <c r="R15" i="3" s="1"/>
  <c r="M94" i="36"/>
  <c r="K94" i="36"/>
  <c r="O21" i="32"/>
  <c r="O13" i="3" l="1"/>
  <c r="R13" i="3" s="1"/>
  <c r="J18" i="32"/>
  <c r="J17" i="32"/>
  <c r="J16" i="32"/>
  <c r="J20" i="32"/>
  <c r="J7" i="32"/>
  <c r="O16" i="3" l="1"/>
  <c r="R16" i="3" s="1"/>
  <c r="O57" i="3"/>
  <c r="O36" i="3" s="1"/>
  <c r="R36" i="3" s="1"/>
  <c r="O56" i="3"/>
  <c r="O35" i="3" s="1"/>
  <c r="R35" i="3" s="1"/>
  <c r="J25" i="32"/>
  <c r="C39" i="29" l="1"/>
  <c r="M42" i="23" l="1"/>
  <c r="J32" i="23"/>
  <c r="P39" i="3" l="1"/>
  <c r="P25" i="3"/>
  <c r="P27" i="3"/>
  <c r="P32" i="3"/>
  <c r="P48" i="3"/>
  <c r="P52" i="3"/>
  <c r="P53" i="3"/>
  <c r="P54" i="3"/>
  <c r="I39" i="23" l="1"/>
  <c r="J23" i="32" l="1"/>
  <c r="F39" i="36"/>
  <c r="H47" i="36"/>
  <c r="G47" i="36"/>
  <c r="F47" i="36"/>
  <c r="C47" i="36"/>
  <c r="H39" i="36"/>
  <c r="G39" i="36"/>
  <c r="E39" i="36"/>
  <c r="D39" i="36"/>
  <c r="C39" i="36"/>
  <c r="H33" i="36"/>
  <c r="G33" i="36"/>
  <c r="F33" i="36"/>
  <c r="E33" i="36"/>
  <c r="D33" i="36"/>
  <c r="C33" i="36"/>
  <c r="K13" i="36"/>
  <c r="F11" i="36"/>
  <c r="F13" i="36" s="1"/>
  <c r="P40" i="3"/>
  <c r="F21" i="36" l="1"/>
  <c r="P5" i="3"/>
  <c r="G7" i="32"/>
  <c r="P22" i="3"/>
  <c r="G6" i="32"/>
  <c r="O50" i="3" l="1"/>
  <c r="R50" i="3" s="1"/>
  <c r="O49" i="3"/>
  <c r="R49" i="3" s="1"/>
  <c r="C9" i="36"/>
  <c r="J5" i="32"/>
  <c r="P50" i="3" l="1"/>
  <c r="B125" i="26"/>
  <c r="B127" i="26" s="1"/>
  <c r="C158" i="26"/>
  <c r="B158" i="26"/>
  <c r="B160" i="26" s="1"/>
  <c r="C68" i="26"/>
  <c r="B68" i="26"/>
  <c r="C70" i="26"/>
  <c r="C137" i="26"/>
  <c r="C139" i="26" s="1"/>
  <c r="C25" i="26"/>
  <c r="B51" i="26"/>
  <c r="C160" i="26"/>
  <c r="B137" i="26"/>
  <c r="B139" i="26" s="1"/>
  <c r="C127" i="26"/>
  <c r="B70" i="26"/>
  <c r="C51" i="26"/>
  <c r="C53" i="26" s="1"/>
  <c r="B53" i="26"/>
  <c r="C27" i="26"/>
  <c r="B25" i="26"/>
  <c r="B27" i="26" s="1"/>
  <c r="B162" i="26" s="1"/>
  <c r="P16" i="3"/>
  <c r="P49" i="3" l="1"/>
  <c r="C162" i="26"/>
  <c r="C163" i="26" l="1"/>
  <c r="F13" i="32"/>
  <c r="F14" i="32"/>
  <c r="F10" i="32"/>
  <c r="F21" i="32" l="1"/>
  <c r="P6" i="3"/>
  <c r="F23" i="32"/>
  <c r="F11" i="32"/>
  <c r="P15" i="3"/>
  <c r="P13" i="3"/>
  <c r="P14" i="3"/>
  <c r="M41" i="2" l="1"/>
  <c r="M49" i="2"/>
  <c r="N65" i="2" l="1"/>
  <c r="E13" i="23" l="1"/>
  <c r="E18" i="32" l="1"/>
  <c r="E17" i="32"/>
  <c r="E16" i="32"/>
  <c r="K591" i="29"/>
  <c r="O6" i="25" l="1"/>
  <c r="O8" i="25"/>
  <c r="O10" i="25"/>
  <c r="O12" i="25"/>
  <c r="O14" i="25"/>
  <c r="D18" i="32" l="1"/>
  <c r="D17" i="32" l="1"/>
  <c r="D16" i="32"/>
  <c r="E28" i="32"/>
  <c r="E27" i="32"/>
  <c r="F27" i="32" s="1"/>
  <c r="D21" i="32"/>
  <c r="D22" i="32" l="1"/>
  <c r="E22" i="32" s="1"/>
  <c r="E21" i="32"/>
  <c r="K556" i="29" l="1"/>
  <c r="K565" i="29"/>
  <c r="K595" i="29"/>
  <c r="F586" i="29"/>
  <c r="D11" i="32" l="1"/>
  <c r="D13" i="32"/>
  <c r="D14" i="32"/>
  <c r="D20" i="32"/>
  <c r="D24" i="32"/>
  <c r="E24" i="32" s="1"/>
  <c r="D25" i="32"/>
  <c r="K520" i="29"/>
  <c r="F515" i="29" s="1"/>
  <c r="K476" i="29"/>
  <c r="K478" i="29"/>
  <c r="K438" i="29"/>
  <c r="K378" i="29"/>
  <c r="K376" i="29"/>
  <c r="K374" i="29"/>
  <c r="K353" i="29"/>
  <c r="M353" i="29" s="1"/>
  <c r="K351" i="29"/>
  <c r="M351" i="29" s="1"/>
  <c r="K303" i="29"/>
  <c r="M303" i="29" s="1"/>
  <c r="K289" i="29"/>
  <c r="M289" i="29" s="1"/>
  <c r="K286" i="29"/>
  <c r="M286" i="29" s="1"/>
  <c r="K268" i="29"/>
  <c r="M268" i="29" s="1"/>
  <c r="K237" i="29"/>
  <c r="K224" i="29"/>
  <c r="K173" i="29"/>
  <c r="F170" i="29" s="1"/>
  <c r="K147" i="29"/>
  <c r="F141" i="29" s="1"/>
  <c r="K74" i="29"/>
  <c r="K89" i="29"/>
  <c r="K77" i="29"/>
  <c r="M77" i="29" s="1"/>
  <c r="M47" i="29"/>
  <c r="K43" i="29"/>
  <c r="K37" i="29"/>
  <c r="K27" i="29"/>
  <c r="K12" i="29"/>
  <c r="N21" i="29" s="1"/>
  <c r="Q40" i="29"/>
  <c r="Q42" i="29" s="1"/>
  <c r="Q45" i="29" s="1"/>
  <c r="Q606" i="29"/>
  <c r="T595" i="29"/>
  <c r="N602" i="29"/>
  <c r="I595" i="29"/>
  <c r="M565" i="29"/>
  <c r="M556" i="29"/>
  <c r="L549" i="29"/>
  <c r="K497" i="29"/>
  <c r="K495" i="29"/>
  <c r="K489" i="29"/>
  <c r="K414" i="29"/>
  <c r="M414" i="29" s="1"/>
  <c r="K412" i="29"/>
  <c r="M412" i="29" s="1"/>
  <c r="K406" i="29"/>
  <c r="M406" i="29" s="1"/>
  <c r="K398" i="29"/>
  <c r="M398" i="29" s="1"/>
  <c r="K396" i="29"/>
  <c r="M396" i="29" s="1"/>
  <c r="K390" i="29"/>
  <c r="M390" i="29" s="1"/>
  <c r="T378" i="29"/>
  <c r="S378" i="29"/>
  <c r="T376" i="29"/>
  <c r="Q376" i="29"/>
  <c r="S376" i="29" s="1"/>
  <c r="T374" i="29"/>
  <c r="Q374" i="29"/>
  <c r="S374" i="29" s="1"/>
  <c r="K361" i="29"/>
  <c r="M361" i="29" s="1"/>
  <c r="K339" i="29"/>
  <c r="M339" i="29" s="1"/>
  <c r="K301" i="29"/>
  <c r="M301" i="29" s="1"/>
  <c r="K299" i="29"/>
  <c r="M299" i="29" s="1"/>
  <c r="Q286" i="29"/>
  <c r="Q290" i="29" s="1"/>
  <c r="R291" i="29" s="1"/>
  <c r="K284" i="29"/>
  <c r="M284" i="29" s="1"/>
  <c r="K262" i="29"/>
  <c r="M262" i="29" s="1"/>
  <c r="K260" i="29"/>
  <c r="M260" i="29" s="1"/>
  <c r="K245" i="29"/>
  <c r="M245" i="29" s="1"/>
  <c r="K243" i="29"/>
  <c r="K239" i="29"/>
  <c r="K230" i="29"/>
  <c r="K226" i="29"/>
  <c r="I127" i="29"/>
  <c r="K122" i="29"/>
  <c r="H126" i="29" s="1"/>
  <c r="K93" i="29"/>
  <c r="C91" i="29"/>
  <c r="C74" i="29"/>
  <c r="K72" i="29"/>
  <c r="M72" i="29" s="1"/>
  <c r="K21" i="29" l="1"/>
  <c r="K41" i="29"/>
  <c r="E25" i="32"/>
  <c r="Q43" i="29"/>
  <c r="D7" i="32"/>
  <c r="E20" i="32"/>
  <c r="U378" i="29"/>
  <c r="D23" i="32"/>
  <c r="E23" i="32" s="1"/>
  <c r="D6" i="32"/>
  <c r="H123" i="29"/>
  <c r="U374" i="29"/>
  <c r="N591" i="29"/>
  <c r="N595" i="29"/>
  <c r="K347" i="29"/>
  <c r="K472" i="29" s="1"/>
  <c r="F347" i="29"/>
  <c r="H125" i="29"/>
  <c r="F370" i="29"/>
  <c r="F433" i="29"/>
  <c r="R287" i="29"/>
  <c r="U376" i="29"/>
  <c r="R49" i="29"/>
  <c r="S48" i="29" s="1"/>
  <c r="H124" i="29"/>
  <c r="K127" i="29" s="1"/>
  <c r="K370" i="29"/>
  <c r="K416" i="29" s="1"/>
  <c r="O586" i="29"/>
  <c r="D10" i="32" l="1"/>
  <c r="K491" i="29"/>
  <c r="K399" i="29"/>
  <c r="Q54" i="29"/>
  <c r="R54" i="29" s="1"/>
  <c r="H121" i="29"/>
  <c r="J121" i="29" s="1"/>
  <c r="I122" i="29"/>
  <c r="J122" i="29" s="1"/>
  <c r="M416" i="29" l="1"/>
  <c r="K151" i="29" l="1"/>
  <c r="F28" i="32" l="1"/>
  <c r="K155" i="29"/>
  <c r="E56" i="23" l="1"/>
  <c r="T22" i="23"/>
  <c r="T20" i="23"/>
  <c r="C17" i="23"/>
  <c r="B17" i="23"/>
  <c r="C16" i="23"/>
  <c r="B16" i="23"/>
  <c r="C12" i="23"/>
  <c r="B12" i="23"/>
  <c r="C11" i="23"/>
  <c r="B11" i="23"/>
  <c r="C10" i="23"/>
  <c r="B10" i="23"/>
  <c r="M9" i="23"/>
  <c r="L9" i="23"/>
  <c r="K9" i="23"/>
  <c r="N8" i="23"/>
  <c r="AA7" i="23"/>
  <c r="AA8" i="23" s="1"/>
  <c r="Y7" i="23"/>
  <c r="N7" i="23"/>
  <c r="C5" i="23"/>
  <c r="B5" i="23"/>
  <c r="C4" i="23"/>
  <c r="B4" i="23"/>
  <c r="K21" i="23" l="1"/>
  <c r="K20" i="23"/>
  <c r="N9" i="23"/>
  <c r="L11" i="23" s="1"/>
  <c r="AA9" i="23"/>
  <c r="AA10" i="23" s="1"/>
  <c r="AA11" i="23" s="1"/>
  <c r="AA12" i="23" s="1"/>
  <c r="AA13" i="23" s="1"/>
  <c r="AA14" i="23" s="1"/>
  <c r="AA15" i="23" s="1"/>
  <c r="AA16" i="23" s="1"/>
  <c r="AA17" i="23" s="1"/>
  <c r="AA18" i="23" s="1"/>
  <c r="G11" i="23"/>
  <c r="L20" i="23" s="1"/>
  <c r="K22" i="23" l="1"/>
  <c r="M21" i="23"/>
  <c r="L21" i="23"/>
  <c r="M20" i="23"/>
  <c r="X9" i="23"/>
  <c r="X11" i="23"/>
  <c r="X13" i="23"/>
  <c r="X15" i="23"/>
  <c r="X17" i="23"/>
  <c r="X8" i="23"/>
  <c r="X10" i="23"/>
  <c r="X12" i="23"/>
  <c r="X14" i="23"/>
  <c r="X16" i="23"/>
  <c r="X18" i="23"/>
  <c r="N11" i="23"/>
  <c r="O9" i="23"/>
  <c r="M11" i="23"/>
  <c r="K11" i="23"/>
  <c r="AA20" i="23"/>
  <c r="M22" i="23" l="1"/>
  <c r="N21" i="23"/>
  <c r="L22" i="23"/>
  <c r="N20" i="23"/>
  <c r="V9" i="23"/>
  <c r="V11" i="23"/>
  <c r="V13" i="23"/>
  <c r="V15" i="23"/>
  <c r="V17" i="23"/>
  <c r="V8" i="23"/>
  <c r="V10" i="23"/>
  <c r="V12" i="23"/>
  <c r="V14" i="23"/>
  <c r="V16" i="23"/>
  <c r="V18" i="23"/>
  <c r="X22" i="23"/>
  <c r="W10" i="23"/>
  <c r="W12" i="23"/>
  <c r="W14" i="23"/>
  <c r="W16" i="23"/>
  <c r="W18" i="23"/>
  <c r="W9" i="23"/>
  <c r="W11" i="23"/>
  <c r="W13" i="23"/>
  <c r="W15" i="23"/>
  <c r="Y15" i="23" s="1"/>
  <c r="W17" i="23"/>
  <c r="Y17" i="23" s="1"/>
  <c r="W8" i="23"/>
  <c r="X20" i="23"/>
  <c r="N22" i="23" l="1"/>
  <c r="Y13" i="23"/>
  <c r="Y11" i="23"/>
  <c r="W20" i="23"/>
  <c r="W27" i="23" s="1"/>
  <c r="Y16" i="23"/>
  <c r="Y12" i="23"/>
  <c r="V20" i="23"/>
  <c r="Y8" i="23"/>
  <c r="Y9" i="23"/>
  <c r="W22" i="23"/>
  <c r="W24" i="23" s="1"/>
  <c r="W25" i="23" s="1"/>
  <c r="Y18" i="23"/>
  <c r="Y14" i="23"/>
  <c r="V22" i="23"/>
  <c r="Y10" i="23"/>
  <c r="K24" i="23" l="1"/>
  <c r="M24" i="23"/>
  <c r="N24" i="23"/>
  <c r="O22" i="23"/>
  <c r="L24" i="23"/>
  <c r="K468" i="29"/>
  <c r="L26" i="23" l="1"/>
  <c r="L32" i="23" s="1"/>
  <c r="K26" i="23"/>
  <c r="K32" i="23" s="1"/>
  <c r="K487" i="29"/>
  <c r="K91" i="29"/>
  <c r="K39" i="29"/>
  <c r="K31" i="23" l="1"/>
  <c r="L31" i="23"/>
  <c r="K276" i="8" l="1"/>
  <c r="K370" i="8"/>
  <c r="AB36" i="2"/>
  <c r="AB35" i="2"/>
  <c r="AB34" i="2"/>
  <c r="AB33" i="2"/>
  <c r="AB32" i="2"/>
  <c r="AB31" i="2"/>
  <c r="AB27" i="2"/>
  <c r="AB26" i="2"/>
  <c r="AB25" i="2"/>
  <c r="AB24" i="2"/>
  <c r="AB20" i="2"/>
  <c r="AB19" i="2"/>
  <c r="AB18" i="2"/>
  <c r="AB17" i="2"/>
  <c r="AB16" i="2"/>
  <c r="M26" i="3"/>
  <c r="K545" i="10" s="1"/>
  <c r="M31" i="3"/>
  <c r="J23" i="10" s="1"/>
  <c r="M32" i="3"/>
  <c r="M48" i="3"/>
  <c r="M40" i="3" s="1"/>
  <c r="M49" i="3"/>
  <c r="J220" i="10" s="1"/>
  <c r="M50" i="3"/>
  <c r="J233" i="10" s="1"/>
  <c r="L18" i="3"/>
  <c r="Q63" i="21"/>
  <c r="Q69" i="21"/>
  <c r="I69" i="21"/>
  <c r="I73" i="21" s="1"/>
  <c r="P41" i="21" s="1"/>
  <c r="P43" i="21" s="1"/>
  <c r="P47" i="21" s="1"/>
  <c r="G60" i="21" s="1"/>
  <c r="AN64" i="21"/>
  <c r="V63" i="21"/>
  <c r="I41" i="21"/>
  <c r="F37" i="21"/>
  <c r="Z36" i="21"/>
  <c r="F36" i="21"/>
  <c r="Z35" i="21"/>
  <c r="F35" i="21"/>
  <c r="Z34" i="21"/>
  <c r="F34" i="21"/>
  <c r="Z33" i="21"/>
  <c r="F33" i="21"/>
  <c r="Z32" i="21"/>
  <c r="F32" i="21"/>
  <c r="Z31" i="21"/>
  <c r="Z29" i="21" s="1"/>
  <c r="F31" i="21"/>
  <c r="X29" i="21"/>
  <c r="I29" i="21"/>
  <c r="Z27" i="21"/>
  <c r="F27" i="21"/>
  <c r="Z26" i="21"/>
  <c r="F26" i="21"/>
  <c r="Z25" i="21"/>
  <c r="F25" i="21"/>
  <c r="Z24" i="21"/>
  <c r="F24" i="21"/>
  <c r="Z22" i="21"/>
  <c r="X22" i="21"/>
  <c r="I22" i="21"/>
  <c r="Z20" i="21"/>
  <c r="F20" i="21"/>
  <c r="Z19" i="21"/>
  <c r="F19" i="21"/>
  <c r="Z18" i="21"/>
  <c r="F18" i="21"/>
  <c r="Z17" i="21"/>
  <c r="F17" i="21"/>
  <c r="Z16" i="21"/>
  <c r="Z14" i="21" s="1"/>
  <c r="F16" i="21"/>
  <c r="X14" i="21"/>
  <c r="I14" i="21"/>
  <c r="AL12" i="21"/>
  <c r="Z12" i="21"/>
  <c r="F12" i="21"/>
  <c r="AL11" i="21"/>
  <c r="Z11" i="21"/>
  <c r="F11" i="21"/>
  <c r="AL10" i="21"/>
  <c r="Z10" i="21"/>
  <c r="F10" i="21"/>
  <c r="AL9" i="21"/>
  <c r="Z9" i="21"/>
  <c r="F9" i="21"/>
  <c r="AL8" i="21"/>
  <c r="Z8" i="21"/>
  <c r="F8" i="21"/>
  <c r="AL7" i="21"/>
  <c r="Z7" i="21"/>
  <c r="F7" i="21"/>
  <c r="AL6" i="21"/>
  <c r="Z6" i="21"/>
  <c r="F6" i="21"/>
  <c r="U5" i="21"/>
  <c r="AG4" i="21"/>
  <c r="AL4" i="21" s="1"/>
  <c r="X4" i="21"/>
  <c r="I4" i="21"/>
  <c r="D16" i="18"/>
  <c r="F16" i="18"/>
  <c r="G16" i="18" s="1"/>
  <c r="F41" i="17"/>
  <c r="F43" i="17" s="1"/>
  <c r="E41" i="17"/>
  <c r="E43" i="17" s="1"/>
  <c r="D41" i="17"/>
  <c r="D43" i="17" s="1"/>
  <c r="Q29" i="17"/>
  <c r="Q32" i="17" s="1"/>
  <c r="O22" i="17"/>
  <c r="O24" i="17" s="1"/>
  <c r="Q21" i="17"/>
  <c r="Q20" i="17"/>
  <c r="I22" i="17"/>
  <c r="H22" i="17"/>
  <c r="N11" i="17" s="1"/>
  <c r="G22" i="17"/>
  <c r="E22" i="17"/>
  <c r="F31" i="17" s="1"/>
  <c r="I20" i="17"/>
  <c r="H20" i="17"/>
  <c r="G20" i="17"/>
  <c r="E20" i="17"/>
  <c r="J18" i="17"/>
  <c r="J17" i="17"/>
  <c r="J16" i="17"/>
  <c r="J15" i="17"/>
  <c r="J14" i="17"/>
  <c r="J13" i="17"/>
  <c r="J12" i="17"/>
  <c r="J11" i="17"/>
  <c r="J10" i="17"/>
  <c r="J9" i="17"/>
  <c r="J8" i="17"/>
  <c r="J7" i="17"/>
  <c r="M8" i="3"/>
  <c r="Z10" i="16"/>
  <c r="Z11" i="16"/>
  <c r="Z14" i="16"/>
  <c r="Z12" i="16"/>
  <c r="Z13" i="16"/>
  <c r="Z15" i="16"/>
  <c r="Z18" i="16"/>
  <c r="Z19" i="16"/>
  <c r="Z20" i="16"/>
  <c r="Z21" i="16"/>
  <c r="Z22" i="16"/>
  <c r="Z23" i="16"/>
  <c r="Z24" i="16"/>
  <c r="Z27" i="16"/>
  <c r="Z28" i="16"/>
  <c r="Z29" i="16"/>
  <c r="Z30" i="16"/>
  <c r="Z31" i="16"/>
  <c r="Z32" i="16"/>
  <c r="Z33" i="16"/>
  <c r="Z36" i="16"/>
  <c r="Z37" i="16"/>
  <c r="Z38" i="16"/>
  <c r="Z39" i="16"/>
  <c r="Z40" i="16"/>
  <c r="Z41" i="16"/>
  <c r="Z42" i="16"/>
  <c r="Q44" i="16"/>
  <c r="I44" i="16"/>
  <c r="AQ1" i="11"/>
  <c r="Z2" i="11"/>
  <c r="H10" i="11"/>
  <c r="AH4" i="11"/>
  <c r="AD13" i="11"/>
  <c r="AD11" i="11"/>
  <c r="AD80" i="11"/>
  <c r="AH77" i="11"/>
  <c r="AD76" i="11"/>
  <c r="AD75" i="11"/>
  <c r="AH73" i="11"/>
  <c r="AD72" i="11"/>
  <c r="AD71" i="11"/>
  <c r="AH68" i="11"/>
  <c r="AD67" i="11"/>
  <c r="AD66" i="11"/>
  <c r="AD63" i="11"/>
  <c r="AD62" i="11"/>
  <c r="AH64" i="11"/>
  <c r="AH46" i="11"/>
  <c r="AH50" i="11"/>
  <c r="AD48" i="11"/>
  <c r="AD44" i="11"/>
  <c r="Z45" i="11"/>
  <c r="AA45" i="11" s="1"/>
  <c r="Z48" i="11"/>
  <c r="V48" i="11"/>
  <c r="Z47" i="11"/>
  <c r="V47" i="11"/>
  <c r="V45" i="11"/>
  <c r="V44" i="11"/>
  <c r="V32" i="11"/>
  <c r="V31" i="11"/>
  <c r="V29" i="11"/>
  <c r="V28" i="11"/>
  <c r="Z32" i="11"/>
  <c r="Z29" i="11"/>
  <c r="Z28" i="11"/>
  <c r="I2" i="11"/>
  <c r="H66" i="11"/>
  <c r="H68" i="11" s="1"/>
  <c r="R66" i="11"/>
  <c r="Z62" i="11"/>
  <c r="AA62" i="11" s="1"/>
  <c r="R60" i="11"/>
  <c r="T60" i="11" s="1"/>
  <c r="H60" i="11"/>
  <c r="H63" i="11" s="1"/>
  <c r="R43" i="11"/>
  <c r="T43" i="11" s="1"/>
  <c r="R49" i="11"/>
  <c r="H50" i="11"/>
  <c r="H49" i="11"/>
  <c r="G44" i="11"/>
  <c r="H44" i="11" s="1"/>
  <c r="H43" i="11"/>
  <c r="R32" i="11"/>
  <c r="T32" i="11" s="1"/>
  <c r="R28" i="11"/>
  <c r="T28" i="11" s="1"/>
  <c r="H34" i="11"/>
  <c r="H33" i="11"/>
  <c r="H32" i="11"/>
  <c r="H27" i="11"/>
  <c r="R11" i="11"/>
  <c r="R15" i="11"/>
  <c r="T15" i="11" s="1"/>
  <c r="H16" i="11"/>
  <c r="H15" i="11"/>
  <c r="H11" i="11"/>
  <c r="AA18" i="11"/>
  <c r="Z31" i="11"/>
  <c r="AA15" i="11" s="1"/>
  <c r="I127" i="10"/>
  <c r="I118" i="10"/>
  <c r="G120" i="10" s="1"/>
  <c r="D87" i="10"/>
  <c r="E35" i="10"/>
  <c r="M10" i="3"/>
  <c r="J239" i="10" s="1"/>
  <c r="M11" i="3"/>
  <c r="J241" i="10" s="1"/>
  <c r="M12" i="3"/>
  <c r="J256" i="10" s="1"/>
  <c r="M18" i="3"/>
  <c r="J297" i="10" s="1"/>
  <c r="M19" i="3"/>
  <c r="M20" i="3"/>
  <c r="J357" i="10" s="1"/>
  <c r="M21" i="3"/>
  <c r="J386" i="10" s="1"/>
  <c r="M22" i="3"/>
  <c r="J434" i="10" s="1"/>
  <c r="E429" i="10" s="1"/>
  <c r="M23" i="3"/>
  <c r="J317" i="10" s="1"/>
  <c r="E312" i="10" s="1"/>
  <c r="M312" i="10" s="1"/>
  <c r="M37" i="3"/>
  <c r="J68" i="10" s="1"/>
  <c r="M43" i="3"/>
  <c r="J43" i="10" s="1"/>
  <c r="M44" i="3"/>
  <c r="J19" i="10" s="1"/>
  <c r="M45" i="3"/>
  <c r="J39" i="10" s="1"/>
  <c r="M47" i="3"/>
  <c r="J85" i="10" s="1"/>
  <c r="J474" i="10"/>
  <c r="M3" i="3"/>
  <c r="AB7" i="2"/>
  <c r="AB8" i="2"/>
  <c r="AB9" i="2"/>
  <c r="AB10" i="2"/>
  <c r="AB11" i="2"/>
  <c r="AB12" i="2"/>
  <c r="AB6" i="2"/>
  <c r="W3" i="2"/>
  <c r="AB3" i="2" s="1"/>
  <c r="K293" i="8"/>
  <c r="L278" i="8"/>
  <c r="N38" i="8"/>
  <c r="K38" i="8" s="1"/>
  <c r="N18" i="8"/>
  <c r="K18" i="8" s="1"/>
  <c r="L295" i="8"/>
  <c r="L293" i="8"/>
  <c r="N35" i="8"/>
  <c r="O12" i="8"/>
  <c r="N13" i="8" s="1"/>
  <c r="N34" i="8" s="1"/>
  <c r="L543" i="8"/>
  <c r="K491" i="8"/>
  <c r="K489" i="8"/>
  <c r="K472" i="8"/>
  <c r="K470" i="8"/>
  <c r="K438" i="8"/>
  <c r="K434" i="8"/>
  <c r="K432" i="8"/>
  <c r="F427" i="8" s="1"/>
  <c r="K408" i="8"/>
  <c r="K406" i="8"/>
  <c r="K404" i="8"/>
  <c r="F396" i="8" s="1"/>
  <c r="K400" i="8"/>
  <c r="K388" i="8"/>
  <c r="F380" i="8" s="1"/>
  <c r="K384" i="8"/>
  <c r="K333" i="8"/>
  <c r="K295" i="8"/>
  <c r="K254" i="8"/>
  <c r="K237" i="8"/>
  <c r="K224" i="8"/>
  <c r="K149" i="8"/>
  <c r="K141" i="8"/>
  <c r="F135" i="8" s="1"/>
  <c r="J125" i="8"/>
  <c r="J116" i="8"/>
  <c r="H118" i="8" s="1"/>
  <c r="E85" i="8"/>
  <c r="K83" i="8"/>
  <c r="K71" i="8"/>
  <c r="K67" i="8"/>
  <c r="K32" i="8"/>
  <c r="K470" i="7"/>
  <c r="K432" i="7"/>
  <c r="F427" i="7" s="1"/>
  <c r="K141" i="7"/>
  <c r="F135" i="7" s="1"/>
  <c r="K145" i="7"/>
  <c r="K18" i="7"/>
  <c r="L543" i="7"/>
  <c r="K491" i="7"/>
  <c r="K489" i="7"/>
  <c r="K472" i="7"/>
  <c r="K438" i="7"/>
  <c r="K434" i="7"/>
  <c r="K408" i="7"/>
  <c r="K406" i="7"/>
  <c r="K404" i="7"/>
  <c r="F396" i="7" s="1"/>
  <c r="K400" i="7"/>
  <c r="K390" i="7"/>
  <c r="K388" i="7"/>
  <c r="F380" i="7" s="1"/>
  <c r="K384" i="7"/>
  <c r="K355" i="7"/>
  <c r="K295" i="7"/>
  <c r="K254" i="7"/>
  <c r="K237" i="7"/>
  <c r="K224" i="7"/>
  <c r="J125" i="7"/>
  <c r="J116" i="7"/>
  <c r="H117" i="7" s="1"/>
  <c r="E85" i="7"/>
  <c r="K83" i="7"/>
  <c r="K71" i="7"/>
  <c r="K67" i="7"/>
  <c r="K38" i="7"/>
  <c r="K32" i="7"/>
  <c r="K315" i="8"/>
  <c r="F310" i="8" s="1"/>
  <c r="N310" i="8" s="1"/>
  <c r="N308" i="8" s="1"/>
  <c r="O308" i="8" s="1"/>
  <c r="N415" i="8"/>
  <c r="N532" i="8"/>
  <c r="K315" i="7"/>
  <c r="F310" i="7" s="1"/>
  <c r="N310" i="7" s="1"/>
  <c r="N308" i="7" s="1"/>
  <c r="I67" i="11"/>
  <c r="M7" i="3"/>
  <c r="M9" i="3"/>
  <c r="K233" i="8"/>
  <c r="K220" i="8"/>
  <c r="K233" i="7"/>
  <c r="K220" i="7"/>
  <c r="K239" i="8"/>
  <c r="K239" i="7"/>
  <c r="K256" i="8"/>
  <c r="K256" i="7"/>
  <c r="M51" i="3"/>
  <c r="J258" i="10" s="1"/>
  <c r="K12" i="8"/>
  <c r="K12" i="7"/>
  <c r="M17" i="3"/>
  <c r="K293" i="7"/>
  <c r="K278" i="8"/>
  <c r="K278" i="7"/>
  <c r="K392" i="8"/>
  <c r="K355" i="8"/>
  <c r="K392" i="7"/>
  <c r="K333" i="7"/>
  <c r="K483" i="8"/>
  <c r="G70" i="10"/>
  <c r="K145" i="8"/>
  <c r="H69" i="8"/>
  <c r="H69" i="7"/>
  <c r="M38" i="3"/>
  <c r="K87" i="8"/>
  <c r="K87" i="7"/>
  <c r="F34" i="8"/>
  <c r="K149" i="7"/>
  <c r="F34" i="7"/>
  <c r="M5" i="3"/>
  <c r="J143" i="10" s="1"/>
  <c r="E137" i="10" s="1"/>
  <c r="M24" i="3"/>
  <c r="J485" i="10" s="1"/>
  <c r="K483" i="7"/>
  <c r="K559" i="7"/>
  <c r="K550" i="8"/>
  <c r="K550" i="7"/>
  <c r="K559" i="8"/>
  <c r="K36" i="7"/>
  <c r="M4" i="3"/>
  <c r="J17" i="10" s="1"/>
  <c r="K16" i="7"/>
  <c r="K283" i="7"/>
  <c r="K280" i="7"/>
  <c r="M13" i="3"/>
  <c r="J282" i="10" s="1"/>
  <c r="K280" i="8"/>
  <c r="M15" i="3"/>
  <c r="J299" i="10" s="1"/>
  <c r="K283" i="8"/>
  <c r="K297" i="8"/>
  <c r="K297" i="7"/>
  <c r="K167" i="7"/>
  <c r="F164" i="7" s="1"/>
  <c r="J374" i="10"/>
  <c r="K85" i="8"/>
  <c r="K345" i="7"/>
  <c r="K85" i="7"/>
  <c r="K368" i="7"/>
  <c r="K345" i="8"/>
  <c r="J370" i="10"/>
  <c r="J493" i="10"/>
  <c r="K14" i="7"/>
  <c r="K167" i="8"/>
  <c r="F164" i="8" s="1"/>
  <c r="M6" i="3"/>
  <c r="J169" i="10" s="1"/>
  <c r="E166" i="10" s="1"/>
  <c r="M16" i="3"/>
  <c r="J264" i="10" s="1"/>
  <c r="K262" i="8"/>
  <c r="K262" i="7"/>
  <c r="J392" i="10"/>
  <c r="AB4" i="11"/>
  <c r="M14" i="3"/>
  <c r="J552" i="10"/>
  <c r="J561" i="10"/>
  <c r="J347" i="10"/>
  <c r="J587" i="10"/>
  <c r="E582" i="10" s="1"/>
  <c r="K585" i="7"/>
  <c r="F580" i="7" s="1"/>
  <c r="K585" i="8"/>
  <c r="F580" i="8" s="1"/>
  <c r="K218" i="7"/>
  <c r="K218" i="8"/>
  <c r="K231" i="8"/>
  <c r="K231" i="7"/>
  <c r="J491" i="10"/>
  <c r="J408" i="10"/>
  <c r="J372" i="10"/>
  <c r="J472" i="10"/>
  <c r="K368" i="8"/>
  <c r="J591" i="10"/>
  <c r="K69" i="7"/>
  <c r="K69" i="8"/>
  <c r="K14" i="8"/>
  <c r="J487" i="10"/>
  <c r="J349" i="10"/>
  <c r="J468" i="10"/>
  <c r="K514" i="8"/>
  <c r="F509" i="8" s="1"/>
  <c r="M27" i="3"/>
  <c r="J589" i="10" s="1"/>
  <c r="K587" i="7"/>
  <c r="K587" i="8"/>
  <c r="M30" i="3"/>
  <c r="J21" i="10" s="1"/>
  <c r="E6" i="10" s="1"/>
  <c r="K20" i="8"/>
  <c r="F6" i="8" s="1"/>
  <c r="K20" i="7"/>
  <c r="K40" i="8"/>
  <c r="K89" i="8" s="1"/>
  <c r="G77" i="8" s="1"/>
  <c r="K40" i="7"/>
  <c r="M46" i="3"/>
  <c r="J41" i="10" s="1"/>
  <c r="K468" i="7"/>
  <c r="K337" i="8"/>
  <c r="F329" i="8" s="1"/>
  <c r="K520" i="7"/>
  <c r="AC49" i="2"/>
  <c r="AC53" i="2" s="1"/>
  <c r="G67" i="21"/>
  <c r="K222" i="7"/>
  <c r="K440" i="7"/>
  <c r="K143" i="8"/>
  <c r="K169" i="8"/>
  <c r="K34" i="7"/>
  <c r="K222" i="8"/>
  <c r="K10" i="7"/>
  <c r="K65" i="7"/>
  <c r="M28" i="3"/>
  <c r="M41" i="3"/>
  <c r="J337" i="10" s="1"/>
  <c r="K554" i="8"/>
  <c r="K386" i="8"/>
  <c r="K258" i="7"/>
  <c r="K143" i="7"/>
  <c r="K169" i="7"/>
  <c r="K359" i="7"/>
  <c r="F351" i="7" s="1"/>
  <c r="K561" i="7"/>
  <c r="F558" i="7" s="1"/>
  <c r="K561" i="8"/>
  <c r="F558" i="8" s="1"/>
  <c r="K552" i="8"/>
  <c r="F547" i="8" s="1"/>
  <c r="M33" i="3"/>
  <c r="J554" i="10" s="1"/>
  <c r="E549" i="10" s="1"/>
  <c r="G63" i="21"/>
  <c r="U63" i="21" s="1"/>
  <c r="K589" i="8"/>
  <c r="K589" i="7"/>
  <c r="K522" i="7"/>
  <c r="K173" i="8"/>
  <c r="K173" i="7"/>
  <c r="K552" i="7"/>
  <c r="F547" i="7" s="1"/>
  <c r="K520" i="8"/>
  <c r="K468" i="8"/>
  <c r="K337" i="7"/>
  <c r="F329" i="7" s="1"/>
  <c r="G20" i="21"/>
  <c r="J20" i="21" s="1"/>
  <c r="J394" i="10" l="1"/>
  <c r="Q22" i="17"/>
  <c r="P24" i="17" s="1"/>
  <c r="P30" i="17" s="1"/>
  <c r="I15" i="11"/>
  <c r="J390" i="10"/>
  <c r="E382" i="10" s="1"/>
  <c r="E366" i="10"/>
  <c r="F5" i="7"/>
  <c r="K347" i="7"/>
  <c r="K341" i="7" s="1"/>
  <c r="K370" i="7"/>
  <c r="K347" i="8"/>
  <c r="K341" i="8" s="1"/>
  <c r="F379" i="8" s="1"/>
  <c r="J366" i="10"/>
  <c r="J412" i="10" s="1"/>
  <c r="F546" i="8"/>
  <c r="Y2" i="11"/>
  <c r="AA2" i="11" s="1"/>
  <c r="N14" i="8"/>
  <c r="N17" i="8" s="1"/>
  <c r="P14" i="8" s="1"/>
  <c r="P16" i="8" s="1"/>
  <c r="K16" i="8" s="1"/>
  <c r="J343" i="10"/>
  <c r="M582" i="10"/>
  <c r="E598" i="10" s="1"/>
  <c r="J175" i="10"/>
  <c r="D4" i="11"/>
  <c r="H17" i="11"/>
  <c r="J440" i="10"/>
  <c r="T34" i="11"/>
  <c r="J285" i="10"/>
  <c r="I39" i="21"/>
  <c r="I43" i="21" s="1"/>
  <c r="X39" i="21"/>
  <c r="X43" i="21" s="1"/>
  <c r="Q73" i="21"/>
  <c r="Q41" i="21" s="1"/>
  <c r="Q43" i="21" s="1"/>
  <c r="Q47" i="21" s="1"/>
  <c r="Q51" i="21" s="1"/>
  <c r="U67" i="21"/>
  <c r="G49" i="21"/>
  <c r="U49" i="21" s="1"/>
  <c r="M25" i="3"/>
  <c r="J516" i="10" s="1"/>
  <c r="E511" i="10" s="1"/>
  <c r="H120" i="8"/>
  <c r="H119" i="8"/>
  <c r="J12" i="10"/>
  <c r="J33" i="10"/>
  <c r="I50" i="11"/>
  <c r="T66" i="11"/>
  <c r="T67" i="11" s="1"/>
  <c r="S63" i="11"/>
  <c r="P51" i="21"/>
  <c r="N24" i="17"/>
  <c r="O30" i="17" s="1"/>
  <c r="H51" i="11"/>
  <c r="J151" i="10"/>
  <c r="N37" i="8"/>
  <c r="P34" i="8" s="1"/>
  <c r="P36" i="8" s="1"/>
  <c r="K36" i="8" s="1"/>
  <c r="H117" i="8"/>
  <c r="E343" i="10"/>
  <c r="O11" i="17"/>
  <c r="O13" i="17" s="1"/>
  <c r="F30" i="17"/>
  <c r="F33" i="17" s="1"/>
  <c r="E583" i="10"/>
  <c r="S32" i="11"/>
  <c r="D3" i="11"/>
  <c r="I66" i="11"/>
  <c r="AH2" i="11"/>
  <c r="AH3" i="11"/>
  <c r="X44" i="16"/>
  <c r="J224" i="10"/>
  <c r="J66" i="10"/>
  <c r="K213" i="8"/>
  <c r="G26" i="8"/>
  <c r="J226" i="10"/>
  <c r="N580" i="8"/>
  <c r="F596" i="8" s="1"/>
  <c r="M310" i="10"/>
  <c r="L20" i="21"/>
  <c r="J339" i="10"/>
  <c r="E331" i="10" s="1"/>
  <c r="F581" i="8"/>
  <c r="K73" i="8"/>
  <c r="F60" i="8" s="1"/>
  <c r="J402" i="10"/>
  <c r="F213" i="8"/>
  <c r="J442" i="10"/>
  <c r="J10" i="10"/>
  <c r="J49" i="10" s="1"/>
  <c r="K335" i="8"/>
  <c r="K474" i="8"/>
  <c r="K276" i="7"/>
  <c r="L272" i="7" s="1"/>
  <c r="K440" i="8"/>
  <c r="K518" i="7"/>
  <c r="K65" i="8"/>
  <c r="F59" i="8" s="1"/>
  <c r="K554" i="7"/>
  <c r="F546" i="7" s="1"/>
  <c r="K518" i="8"/>
  <c r="K386" i="7"/>
  <c r="K335" i="7"/>
  <c r="K10" i="8"/>
  <c r="K48" i="8" s="1"/>
  <c r="K258" i="8"/>
  <c r="K474" i="7"/>
  <c r="K48" i="7"/>
  <c r="N546" i="8"/>
  <c r="J476" i="10"/>
  <c r="J388" i="10"/>
  <c r="J556" i="10"/>
  <c r="E548" i="10" s="1"/>
  <c r="J278" i="10"/>
  <c r="K30" i="8"/>
  <c r="K51" i="8" s="1"/>
  <c r="F27" i="10"/>
  <c r="J91" i="10"/>
  <c r="F79" i="10" s="1"/>
  <c r="F581" i="7"/>
  <c r="K81" i="8"/>
  <c r="G76" i="8" s="1"/>
  <c r="K516" i="8"/>
  <c r="K235" i="7"/>
  <c r="J75" i="10"/>
  <c r="E61" i="10" s="1"/>
  <c r="O308" i="7"/>
  <c r="K5" i="7"/>
  <c r="J436" i="10"/>
  <c r="K516" i="7"/>
  <c r="N580" i="7"/>
  <c r="F596" i="7" s="1"/>
  <c r="J280" i="10"/>
  <c r="J295" i="10"/>
  <c r="G122" i="10"/>
  <c r="G119" i="10"/>
  <c r="G121" i="10"/>
  <c r="T11" i="11"/>
  <c r="T16" i="11" s="1"/>
  <c r="S15" i="11"/>
  <c r="S16" i="11" s="1"/>
  <c r="H35" i="11"/>
  <c r="I34" i="11"/>
  <c r="T49" i="11"/>
  <c r="T50" i="11" s="1"/>
  <c r="S46" i="11"/>
  <c r="X2" i="11"/>
  <c r="AA12" i="11"/>
  <c r="Z44" i="16"/>
  <c r="P11" i="17"/>
  <c r="G30" i="17"/>
  <c r="G31" i="17"/>
  <c r="H31" i="17" s="1"/>
  <c r="K372" i="8"/>
  <c r="F364" i="8" s="1"/>
  <c r="M39" i="3"/>
  <c r="J147" i="10"/>
  <c r="K34" i="8"/>
  <c r="H12" i="11"/>
  <c r="H45" i="11"/>
  <c r="Z4" i="21"/>
  <c r="Z39" i="21" s="1"/>
  <c r="AB39" i="21" s="1"/>
  <c r="J87" i="10"/>
  <c r="J35" i="10"/>
  <c r="K175" i="7"/>
  <c r="K175" i="8"/>
  <c r="K487" i="7"/>
  <c r="K487" i="8"/>
  <c r="K89" i="7"/>
  <c r="G77" i="7" s="1"/>
  <c r="G26" i="7"/>
  <c r="G65" i="21"/>
  <c r="U65" i="21" s="1"/>
  <c r="K235" i="8"/>
  <c r="F227" i="8" s="1"/>
  <c r="K563" i="7"/>
  <c r="K260" i="7"/>
  <c r="N249" i="7" s="1"/>
  <c r="N243" i="7" s="1"/>
  <c r="K402" i="7"/>
  <c r="K563" i="8"/>
  <c r="K291" i="7"/>
  <c r="L287" i="7" s="1"/>
  <c r="K147" i="8"/>
  <c r="K171" i="8"/>
  <c r="K357" i="8"/>
  <c r="K30" i="7"/>
  <c r="K171" i="7"/>
  <c r="K493" i="8"/>
  <c r="K436" i="7"/>
  <c r="N427" i="7" s="1"/>
  <c r="N422" i="7" s="1"/>
  <c r="J73" i="10"/>
  <c r="J89" i="10"/>
  <c r="J222" i="10"/>
  <c r="J235" i="10"/>
  <c r="H120" i="7"/>
  <c r="H119" i="7"/>
  <c r="H118" i="7"/>
  <c r="J522" i="10"/>
  <c r="J470" i="10"/>
  <c r="K514" i="7"/>
  <c r="F509" i="7" s="1"/>
  <c r="M34" i="3"/>
  <c r="K359" i="8"/>
  <c r="F351" i="8" s="1"/>
  <c r="M42" i="3"/>
  <c r="J438" i="10" s="1"/>
  <c r="K147" i="7"/>
  <c r="K402" i="8"/>
  <c r="K260" i="8"/>
  <c r="F59" i="7"/>
  <c r="K436" i="8"/>
  <c r="K213" i="7"/>
  <c r="K522" i="8"/>
  <c r="K73" i="7"/>
  <c r="F6" i="7"/>
  <c r="J37" i="10"/>
  <c r="J335" i="10"/>
  <c r="J410" i="10"/>
  <c r="I16" i="11"/>
  <c r="H29" i="11"/>
  <c r="I35" i="11" s="1"/>
  <c r="I32" i="11"/>
  <c r="L272" i="8"/>
  <c r="I49" i="11"/>
  <c r="I68" i="11"/>
  <c r="F213" i="7"/>
  <c r="K357" i="7"/>
  <c r="K81" i="7"/>
  <c r="K291" i="8"/>
  <c r="L287" i="8" s="1"/>
  <c r="K493" i="7"/>
  <c r="J520" i="10"/>
  <c r="J145" i="10"/>
  <c r="J171" i="10"/>
  <c r="J260" i="10"/>
  <c r="I51" i="11" l="1"/>
  <c r="H30" i="17"/>
  <c r="H33" i="17" s="1"/>
  <c r="V39" i="21"/>
  <c r="I17" i="11"/>
  <c r="K379" i="8"/>
  <c r="F341" i="8"/>
  <c r="F341" i="7"/>
  <c r="K372" i="7"/>
  <c r="K364" i="7" s="1"/>
  <c r="K410" i="7" s="1"/>
  <c r="F395" i="7" s="1"/>
  <c r="K379" i="7"/>
  <c r="J330" i="10"/>
  <c r="F165" i="8"/>
  <c r="F165" i="7"/>
  <c r="G55" i="21"/>
  <c r="AA3" i="11"/>
  <c r="AA4" i="11" s="1"/>
  <c r="J121" i="8"/>
  <c r="I123" i="10"/>
  <c r="K274" i="10"/>
  <c r="M302" i="10" s="1"/>
  <c r="L18" i="21" s="1"/>
  <c r="F428" i="8"/>
  <c r="N249" i="8"/>
  <c r="N243" i="8" s="1"/>
  <c r="Q24" i="17"/>
  <c r="F510" i="7"/>
  <c r="K466" i="8"/>
  <c r="K466" i="7"/>
  <c r="J121" i="7"/>
  <c r="J173" i="10"/>
  <c r="N164" i="8"/>
  <c r="N162" i="8" s="1"/>
  <c r="J149" i="10"/>
  <c r="E138" i="10" s="1"/>
  <c r="F379" i="7"/>
  <c r="N54" i="8"/>
  <c r="N98" i="8" s="1"/>
  <c r="K5" i="8"/>
  <c r="M5" i="8" s="1"/>
  <c r="L5" i="8" s="1"/>
  <c r="N5" i="8" s="1"/>
  <c r="J31" i="10"/>
  <c r="J26" i="10" s="1"/>
  <c r="G25" i="8"/>
  <c r="N546" i="7"/>
  <c r="E330" i="10"/>
  <c r="E430" i="10"/>
  <c r="K59" i="8"/>
  <c r="F5" i="8"/>
  <c r="K25" i="8"/>
  <c r="M25" i="8" s="1"/>
  <c r="L25" i="8" s="1"/>
  <c r="N25" i="8" s="1"/>
  <c r="K364" i="8"/>
  <c r="K410" i="8" s="1"/>
  <c r="F395" i="8" s="1"/>
  <c r="N300" i="8"/>
  <c r="N305" i="8" s="1"/>
  <c r="N303" i="8" s="1"/>
  <c r="F328" i="7"/>
  <c r="K328" i="7"/>
  <c r="G300" i="8"/>
  <c r="N509" i="8"/>
  <c r="N505" i="8" s="1"/>
  <c r="M548" i="10"/>
  <c r="K328" i="8"/>
  <c r="F328" i="8"/>
  <c r="G18" i="21"/>
  <c r="J262" i="10"/>
  <c r="M251" i="10" s="1"/>
  <c r="K227" i="8"/>
  <c r="N241" i="8" s="1"/>
  <c r="N164" i="7"/>
  <c r="N162" i="7" s="1"/>
  <c r="K76" i="8"/>
  <c r="G300" i="7"/>
  <c r="G27" i="21"/>
  <c r="J27" i="21" s="1"/>
  <c r="E381" i="10"/>
  <c r="J381" i="10"/>
  <c r="Q11" i="17"/>
  <c r="N13" i="17" s="1"/>
  <c r="G25" i="17"/>
  <c r="N300" i="7"/>
  <c r="N305" i="7" s="1"/>
  <c r="N509" i="7"/>
  <c r="N505" i="7" s="1"/>
  <c r="M29" i="3"/>
  <c r="J14" i="10"/>
  <c r="J70" i="10"/>
  <c r="E60" i="10" s="1"/>
  <c r="K485" i="7"/>
  <c r="K485" i="8"/>
  <c r="G33" i="17"/>
  <c r="N4" i="11"/>
  <c r="K227" i="7"/>
  <c r="G241" i="7" s="1"/>
  <c r="F227" i="7"/>
  <c r="N427" i="8"/>
  <c r="N422" i="8" s="1"/>
  <c r="J518" i="10"/>
  <c r="J293" i="10"/>
  <c r="K289" i="10" s="1"/>
  <c r="J359" i="10"/>
  <c r="J565" i="10"/>
  <c r="J404" i="10"/>
  <c r="J83" i="10"/>
  <c r="J495" i="10"/>
  <c r="J237" i="10"/>
  <c r="K481" i="8"/>
  <c r="E215" i="10"/>
  <c r="J215" i="10"/>
  <c r="I47" i="21"/>
  <c r="I46" i="21"/>
  <c r="F136" i="8"/>
  <c r="K135" i="8"/>
  <c r="N557" i="8"/>
  <c r="F557" i="8"/>
  <c r="AC63" i="2"/>
  <c r="G41" i="21"/>
  <c r="F428" i="7"/>
  <c r="F60" i="7"/>
  <c r="K59" i="7"/>
  <c r="F136" i="7"/>
  <c r="K135" i="7"/>
  <c r="J361" i="10"/>
  <c r="E353" i="10" s="1"/>
  <c r="J524" i="10"/>
  <c r="J406" i="10"/>
  <c r="E398" i="10" s="1"/>
  <c r="J177" i="10"/>
  <c r="J489" i="10"/>
  <c r="J563" i="10"/>
  <c r="E560" i="10" s="1"/>
  <c r="G25" i="7"/>
  <c r="K51" i="7"/>
  <c r="N54" i="7" s="1"/>
  <c r="K25" i="7"/>
  <c r="F557" i="7"/>
  <c r="N557" i="7"/>
  <c r="F510" i="8"/>
  <c r="G76" i="7"/>
  <c r="K76" i="7"/>
  <c r="M429" i="10"/>
  <c r="F25" i="17" l="1"/>
  <c r="G477" i="8"/>
  <c r="F350" i="7"/>
  <c r="F364" i="7"/>
  <c r="K395" i="7"/>
  <c r="N412" i="7" s="1"/>
  <c r="K395" i="8"/>
  <c r="G412" i="8" s="1"/>
  <c r="K350" i="7"/>
  <c r="F374" i="7" s="1"/>
  <c r="F350" i="8"/>
  <c r="K481" i="7"/>
  <c r="G477" i="7" s="1"/>
  <c r="M511" i="10"/>
  <c r="M507" i="10" s="1"/>
  <c r="F305" i="7"/>
  <c r="O249" i="8"/>
  <c r="G17" i="21"/>
  <c r="J17" i="21" s="1"/>
  <c r="J137" i="10"/>
  <c r="M36" i="3"/>
  <c r="J483" i="10" s="1"/>
  <c r="F479" i="10" s="1"/>
  <c r="P13" i="17"/>
  <c r="P29" i="17" s="1"/>
  <c r="P32" i="17" s="1"/>
  <c r="O243" i="8"/>
  <c r="E167" i="10"/>
  <c r="E307" i="10"/>
  <c r="G91" i="8"/>
  <c r="O249" i="7"/>
  <c r="M477" i="8"/>
  <c r="F302" i="10"/>
  <c r="M307" i="10"/>
  <c r="M305" i="10" s="1"/>
  <c r="M267" i="10"/>
  <c r="L59" i="8"/>
  <c r="M166" i="10"/>
  <c r="M164" i="10" s="1"/>
  <c r="K462" i="8"/>
  <c r="K462" i="7"/>
  <c r="M35" i="3"/>
  <c r="J464" i="10" s="1"/>
  <c r="F26" i="10"/>
  <c r="O546" i="7"/>
  <c r="N44" i="8"/>
  <c r="N3" i="8" s="1"/>
  <c r="O427" i="7"/>
  <c r="N265" i="7"/>
  <c r="J52" i="10"/>
  <c r="M55" i="10" s="1"/>
  <c r="G44" i="8"/>
  <c r="O427" i="8"/>
  <c r="G12" i="21"/>
  <c r="J12" i="21" s="1"/>
  <c r="O546" i="8"/>
  <c r="N241" i="7"/>
  <c r="N211" i="7" s="1"/>
  <c r="G241" i="8"/>
  <c r="L59" i="7"/>
  <c r="K350" i="8"/>
  <c r="F374" i="8" s="1"/>
  <c r="N91" i="8"/>
  <c r="N57" i="8" s="1"/>
  <c r="M245" i="10"/>
  <c r="L17" i="21"/>
  <c r="F305" i="8"/>
  <c r="N265" i="8"/>
  <c r="N211" i="8"/>
  <c r="F320" i="8"/>
  <c r="O422" i="8"/>
  <c r="G19" i="21"/>
  <c r="O54" i="8"/>
  <c r="O505" i="8"/>
  <c r="J60" i="10"/>
  <c r="E512" i="10"/>
  <c r="J5" i="10"/>
  <c r="M45" i="10" s="1"/>
  <c r="E5" i="10"/>
  <c r="Q13" i="17"/>
  <c r="O29" i="17"/>
  <c r="O32" i="17" s="1"/>
  <c r="N320" i="8"/>
  <c r="N318" i="8" s="1"/>
  <c r="O243" i="7"/>
  <c r="N44" i="7"/>
  <c r="G44" i="7"/>
  <c r="G33" i="21"/>
  <c r="J33" i="21" s="1"/>
  <c r="L41" i="21"/>
  <c r="U41" i="21"/>
  <c r="Z41" i="21"/>
  <c r="J41" i="21"/>
  <c r="AC41" i="2"/>
  <c r="O509" i="7"/>
  <c r="J397" i="10"/>
  <c r="E397" i="10"/>
  <c r="E352" i="10"/>
  <c r="J352" i="10"/>
  <c r="O509" i="8"/>
  <c r="N98" i="7"/>
  <c r="J229" i="10"/>
  <c r="M243" i="10" s="1"/>
  <c r="E229" i="10"/>
  <c r="J78" i="10"/>
  <c r="F78" i="10"/>
  <c r="E559" i="10"/>
  <c r="M559" i="10"/>
  <c r="N91" i="7"/>
  <c r="G91" i="7"/>
  <c r="O162" i="7"/>
  <c r="O162" i="8"/>
  <c r="O557" i="8"/>
  <c r="O557" i="7"/>
  <c r="N303" i="7"/>
  <c r="J18" i="21"/>
  <c r="L27" i="21"/>
  <c r="M424" i="10"/>
  <c r="N412" i="8" l="1"/>
  <c r="N377" i="8" s="1"/>
  <c r="L19" i="21"/>
  <c r="N374" i="7"/>
  <c r="F419" i="7" s="1"/>
  <c r="L479" i="10"/>
  <c r="N477" i="8"/>
  <c r="G412" i="7"/>
  <c r="N502" i="7"/>
  <c r="N498" i="7" s="1"/>
  <c r="N377" i="7"/>
  <c r="F502" i="7"/>
  <c r="L33" i="21"/>
  <c r="N96" i="8"/>
  <c r="N94" i="8" s="1"/>
  <c r="M477" i="7"/>
  <c r="N477" i="7" s="1"/>
  <c r="L12" i="21"/>
  <c r="O422" i="7"/>
  <c r="N320" i="7"/>
  <c r="N318" i="7" s="1"/>
  <c r="M458" i="7"/>
  <c r="G458" i="7"/>
  <c r="M458" i="8"/>
  <c r="G458" i="8"/>
  <c r="L460" i="10"/>
  <c r="F460" i="10"/>
  <c r="O265" i="8"/>
  <c r="F320" i="7"/>
  <c r="N374" i="8"/>
  <c r="F153" i="8"/>
  <c r="N160" i="8"/>
  <c r="M100" i="10"/>
  <c r="F45" i="10"/>
  <c r="F160" i="8"/>
  <c r="O303" i="8"/>
  <c r="P20" i="21"/>
  <c r="O44" i="8"/>
  <c r="O505" i="7"/>
  <c r="O265" i="7"/>
  <c r="M93" i="10"/>
  <c r="E162" i="10" s="1"/>
  <c r="F93" i="10"/>
  <c r="M213" i="10"/>
  <c r="L16" i="21"/>
  <c r="E322" i="10"/>
  <c r="M322" i="10"/>
  <c r="M320" i="10" s="1"/>
  <c r="F243" i="10"/>
  <c r="O54" i="7"/>
  <c r="G25" i="21"/>
  <c r="J25" i="21" s="1"/>
  <c r="M376" i="10"/>
  <c r="E376" i="10"/>
  <c r="Z43" i="21"/>
  <c r="AB41" i="21"/>
  <c r="G7" i="21"/>
  <c r="J7" i="21" s="1"/>
  <c r="G6" i="21"/>
  <c r="J6" i="21" s="1"/>
  <c r="N96" i="7"/>
  <c r="F110" i="7" s="1"/>
  <c r="O44" i="7"/>
  <c r="N3" i="7"/>
  <c r="N502" i="8"/>
  <c r="M414" i="10"/>
  <c r="F414" i="10"/>
  <c r="F96" i="7"/>
  <c r="N160" i="7"/>
  <c r="F153" i="7"/>
  <c r="N57" i="7"/>
  <c r="F160" i="7"/>
  <c r="G16" i="21"/>
  <c r="J16" i="21" s="1"/>
  <c r="L6" i="21"/>
  <c r="M3" i="10"/>
  <c r="J19" i="21"/>
  <c r="F502" i="8" l="1"/>
  <c r="F445" i="8"/>
  <c r="M498" i="10"/>
  <c r="L31" i="21" s="1"/>
  <c r="N419" i="7"/>
  <c r="N445" i="7" s="1"/>
  <c r="L14" i="21"/>
  <c r="N326" i="7"/>
  <c r="O326" i="7" s="1"/>
  <c r="F110" i="8"/>
  <c r="N110" i="8"/>
  <c r="N153" i="8"/>
  <c r="N128" i="8" s="1"/>
  <c r="N496" i="7"/>
  <c r="N454" i="7" s="1"/>
  <c r="O160" i="7"/>
  <c r="G498" i="10"/>
  <c r="O320" i="7"/>
  <c r="G24" i="21"/>
  <c r="J24" i="21" s="1"/>
  <c r="N326" i="8"/>
  <c r="O326" i="8" s="1"/>
  <c r="N445" i="8"/>
  <c r="N443" i="8" s="1"/>
  <c r="H496" i="7"/>
  <c r="F524" i="7"/>
  <c r="N110" i="7"/>
  <c r="O57" i="7"/>
  <c r="M456" i="10"/>
  <c r="N496" i="8"/>
  <c r="F524" i="8" s="1"/>
  <c r="H496" i="8"/>
  <c r="N458" i="8"/>
  <c r="N458" i="7"/>
  <c r="F419" i="8"/>
  <c r="O160" i="8"/>
  <c r="O303" i="7"/>
  <c r="M98" i="10"/>
  <c r="E112" i="10" s="1"/>
  <c r="M162" i="10"/>
  <c r="M158" i="10" s="1"/>
  <c r="L11" i="21" s="1"/>
  <c r="O3" i="8"/>
  <c r="O318" i="8"/>
  <c r="O320" i="8"/>
  <c r="T20" i="21"/>
  <c r="U20" i="21"/>
  <c r="AB20" i="21"/>
  <c r="E98" i="10"/>
  <c r="O377" i="8"/>
  <c r="O3" i="7"/>
  <c r="N94" i="7"/>
  <c r="N153" i="7"/>
  <c r="N128" i="7" s="1"/>
  <c r="G11" i="21"/>
  <c r="J11" i="21" s="1"/>
  <c r="G8" i="21"/>
  <c r="J8" i="21" s="1"/>
  <c r="G32" i="21"/>
  <c r="J32" i="21" s="1"/>
  <c r="O502" i="7"/>
  <c r="L25" i="21"/>
  <c r="M379" i="10"/>
  <c r="M504" i="10"/>
  <c r="E504" i="10"/>
  <c r="N498" i="8"/>
  <c r="O502" i="8"/>
  <c r="O57" i="8"/>
  <c r="G56" i="21"/>
  <c r="I60" i="21" s="1"/>
  <c r="X44" i="21"/>
  <c r="T47" i="21" s="1"/>
  <c r="AB51" i="21"/>
  <c r="AB43" i="21"/>
  <c r="L24" i="21"/>
  <c r="M328" i="10"/>
  <c r="E421" i="10"/>
  <c r="M421" i="10"/>
  <c r="E447" i="10" s="1"/>
  <c r="O377" i="7"/>
  <c r="L7" i="21"/>
  <c r="M58" i="10"/>
  <c r="E155" i="10"/>
  <c r="O211" i="7"/>
  <c r="O211" i="8"/>
  <c r="G14" i="21"/>
  <c r="J14" i="21" s="1"/>
  <c r="N415" i="7" l="1"/>
  <c r="F445" i="7"/>
  <c r="F181" i="8"/>
  <c r="N524" i="8"/>
  <c r="O524" i="8" s="1"/>
  <c r="N524" i="7"/>
  <c r="O524" i="7" s="1"/>
  <c r="N181" i="8"/>
  <c r="O153" i="8"/>
  <c r="G26" i="21"/>
  <c r="J26" i="21" s="1"/>
  <c r="O415" i="7"/>
  <c r="M96" i="10"/>
  <c r="M112" i="10" s="1"/>
  <c r="M109" i="10" s="1"/>
  <c r="L9" i="21" s="1"/>
  <c r="G22" i="21"/>
  <c r="J22" i="21" s="1"/>
  <c r="O454" i="7"/>
  <c r="G31" i="21"/>
  <c r="J31" i="21" s="1"/>
  <c r="O496" i="7"/>
  <c r="N454" i="8"/>
  <c r="O496" i="8"/>
  <c r="M155" i="10"/>
  <c r="M130" i="10" s="1"/>
  <c r="L8" i="21"/>
  <c r="O498" i="8"/>
  <c r="O318" i="7"/>
  <c r="M417" i="10"/>
  <c r="M447" i="10"/>
  <c r="M445" i="10" s="1"/>
  <c r="L26" i="21"/>
  <c r="L22" i="21" s="1"/>
  <c r="G59" i="21"/>
  <c r="I59" i="21" s="1"/>
  <c r="T49" i="21"/>
  <c r="G9" i="21"/>
  <c r="O498" i="7"/>
  <c r="O153" i="7"/>
  <c r="G10" i="21"/>
  <c r="J10" i="21" s="1"/>
  <c r="O94" i="7"/>
  <c r="N181" i="7"/>
  <c r="M500" i="10"/>
  <c r="L32" i="21"/>
  <c r="M526" i="10"/>
  <c r="E526" i="10"/>
  <c r="O94" i="8"/>
  <c r="O128" i="7"/>
  <c r="F181" i="7"/>
  <c r="N443" i="7"/>
  <c r="O445" i="8" l="1"/>
  <c r="N529" i="8"/>
  <c r="F539" i="8" s="1"/>
  <c r="F529" i="8"/>
  <c r="F529" i="7"/>
  <c r="O445" i="7"/>
  <c r="O415" i="8"/>
  <c r="M183" i="10"/>
  <c r="E531" i="10" s="1"/>
  <c r="O454" i="8"/>
  <c r="E183" i="10"/>
  <c r="L10" i="21"/>
  <c r="L4" i="21" s="1"/>
  <c r="N529" i="7"/>
  <c r="N534" i="7" s="1"/>
  <c r="N532" i="7" s="1"/>
  <c r="O128" i="8"/>
  <c r="J9" i="21"/>
  <c r="G4" i="21"/>
  <c r="J4" i="21" s="1"/>
  <c r="O443" i="7"/>
  <c r="O443" i="8"/>
  <c r="N539" i="8" l="1"/>
  <c r="N565" i="8" s="1"/>
  <c r="N568" i="8" s="1"/>
  <c r="F575" i="8" s="1"/>
  <c r="N527" i="8"/>
  <c r="F534" i="8"/>
  <c r="M531" i="10"/>
  <c r="M536" i="10" s="1"/>
  <c r="M534" i="10" s="1"/>
  <c r="N527" i="7"/>
  <c r="N539" i="7"/>
  <c r="G565" i="7" s="1"/>
  <c r="F534" i="7"/>
  <c r="F539" i="7"/>
  <c r="F568" i="8"/>
  <c r="N537" i="8" l="1"/>
  <c r="G565" i="8"/>
  <c r="M529" i="10"/>
  <c r="E541" i="10"/>
  <c r="L35" i="21"/>
  <c r="N565" i="7"/>
  <c r="N537" i="7" s="1"/>
  <c r="L34" i="21"/>
  <c r="M541" i="10"/>
  <c r="F567" i="10" s="1"/>
  <c r="E536" i="10"/>
  <c r="N575" i="8"/>
  <c r="F595" i="8" s="1"/>
  <c r="M567" i="10" l="1"/>
  <c r="M539" i="10" s="1"/>
  <c r="N568" i="7"/>
  <c r="F575" i="7" s="1"/>
  <c r="F568" i="7"/>
  <c r="O527" i="8"/>
  <c r="O527" i="7"/>
  <c r="N595" i="8"/>
  <c r="K595" i="8"/>
  <c r="N575" i="7" l="1"/>
  <c r="F595" i="7" s="1"/>
  <c r="L36" i="21"/>
  <c r="L29" i="21" s="1"/>
  <c r="L39" i="21" s="1"/>
  <c r="N29" i="21" s="1"/>
  <c r="E570" i="10"/>
  <c r="M570" i="10"/>
  <c r="E577" i="10" s="1"/>
  <c r="O532" i="8"/>
  <c r="O532" i="7"/>
  <c r="M577" i="10" l="1"/>
  <c r="E597" i="10" s="1"/>
  <c r="J597" i="10" s="1"/>
  <c r="O537" i="8"/>
  <c r="O537" i="7"/>
  <c r="N595" i="7"/>
  <c r="K595" i="7"/>
  <c r="L43" i="21"/>
  <c r="L47" i="21" s="1"/>
  <c r="L51" i="21" s="1"/>
  <c r="N39" i="21"/>
  <c r="N14" i="21"/>
  <c r="N22" i="21"/>
  <c r="N4" i="21"/>
  <c r="M597" i="10" l="1"/>
  <c r="O181" i="7"/>
  <c r="O181" i="8"/>
  <c r="O575" i="8"/>
  <c r="P575" i="8"/>
  <c r="O575" i="7"/>
  <c r="P575" i="7"/>
  <c r="O539" i="8"/>
  <c r="O539" i="7"/>
  <c r="O110" i="7"/>
  <c r="O110" i="8"/>
  <c r="O529" i="8"/>
  <c r="O529" i="7"/>
  <c r="O534" i="7"/>
  <c r="O534" i="8"/>
  <c r="O565" i="7"/>
  <c r="O565" i="8"/>
  <c r="K601" i="8"/>
  <c r="K601" i="7"/>
  <c r="G35" i="21"/>
  <c r="G34" i="21"/>
  <c r="G36" i="21"/>
  <c r="O568" i="7"/>
  <c r="O568" i="8"/>
  <c r="O595" i="8"/>
  <c r="O595" i="7"/>
  <c r="J36" i="21" l="1"/>
  <c r="G29" i="21"/>
  <c r="J35" i="21"/>
  <c r="J34" i="21"/>
  <c r="J29" i="21" l="1"/>
  <c r="G39" i="21"/>
  <c r="G43" i="21" l="1"/>
  <c r="T39" i="21"/>
  <c r="U39" i="21"/>
  <c r="J39" i="21"/>
  <c r="U43" i="21" l="1"/>
  <c r="G47" i="21"/>
  <c r="J43" i="21"/>
  <c r="G51" i="21" l="1"/>
  <c r="U51" i="21" s="1"/>
  <c r="U47" i="21"/>
  <c r="P17" i="21" l="1"/>
  <c r="P16" i="21" l="1"/>
  <c r="P18" i="21"/>
  <c r="T17" i="21"/>
  <c r="AB17" i="21"/>
  <c r="U17" i="21"/>
  <c r="U18" i="21" l="1"/>
  <c r="AB18" i="21"/>
  <c r="T18" i="21"/>
  <c r="T16" i="21"/>
  <c r="U16" i="21"/>
  <c r="AB16" i="21"/>
  <c r="P19" i="21"/>
  <c r="T19" i="21" l="1"/>
  <c r="U19" i="21"/>
  <c r="AB19" i="21"/>
  <c r="P14" i="21"/>
  <c r="AB14" i="21" l="1"/>
  <c r="T14" i="21"/>
  <c r="U14" i="21"/>
  <c r="P7" i="21" l="1"/>
  <c r="AH7" i="21" l="1"/>
  <c r="U7" i="21"/>
  <c r="AB7" i="21"/>
  <c r="T7" i="21"/>
  <c r="K593" i="29" l="1"/>
  <c r="N593" i="29" l="1"/>
  <c r="N586" i="29"/>
  <c r="F602" i="29" s="1"/>
  <c r="F587" i="29"/>
  <c r="P12" i="21" l="1"/>
  <c r="P27" i="21"/>
  <c r="AB27" i="21" l="1"/>
  <c r="T27" i="21"/>
  <c r="U27" i="21"/>
  <c r="P11" i="21"/>
  <c r="AH12" i="21"/>
  <c r="U12" i="21"/>
  <c r="AB12" i="21"/>
  <c r="T12" i="21"/>
  <c r="P6" i="21"/>
  <c r="P24" i="21" l="1"/>
  <c r="U24" i="21" s="1"/>
  <c r="P10" i="21"/>
  <c r="AB10" i="21" s="1"/>
  <c r="U11" i="21"/>
  <c r="T11" i="21"/>
  <c r="AH11" i="21"/>
  <c r="AB11" i="21"/>
  <c r="T6" i="21"/>
  <c r="U6" i="21"/>
  <c r="AH6" i="21"/>
  <c r="AB6" i="21"/>
  <c r="P33" i="21"/>
  <c r="P31" i="21"/>
  <c r="P25" i="21"/>
  <c r="P26" i="21"/>
  <c r="T24" i="21" l="1"/>
  <c r="AB24" i="21"/>
  <c r="U10" i="21"/>
  <c r="AH10" i="21"/>
  <c r="T10" i="21"/>
  <c r="P32" i="21"/>
  <c r="P9" i="21"/>
  <c r="AB26" i="21"/>
  <c r="T26" i="21"/>
  <c r="U26" i="21"/>
  <c r="P22" i="21"/>
  <c r="T25" i="21"/>
  <c r="AB25" i="21"/>
  <c r="U25" i="21"/>
  <c r="T31" i="21"/>
  <c r="U31" i="21"/>
  <c r="AB31" i="21"/>
  <c r="T33" i="21"/>
  <c r="AB33" i="21"/>
  <c r="U33" i="21"/>
  <c r="P8" i="21"/>
  <c r="AB22" i="21" l="1"/>
  <c r="U22" i="21"/>
  <c r="T22" i="21"/>
  <c r="AH8" i="21"/>
  <c r="U8" i="21"/>
  <c r="T8" i="21"/>
  <c r="AB8" i="21"/>
  <c r="P4" i="21"/>
  <c r="T9" i="21"/>
  <c r="AB9" i="21"/>
  <c r="AH9" i="21"/>
  <c r="U9" i="21"/>
  <c r="AB32" i="21"/>
  <c r="T32" i="21"/>
  <c r="U32" i="21"/>
  <c r="P34" i="21" l="1"/>
  <c r="U4" i="21"/>
  <c r="AB4" i="21"/>
  <c r="T4" i="21"/>
  <c r="AB34" i="21" l="1"/>
  <c r="T34" i="21"/>
  <c r="U34" i="21"/>
  <c r="P35" i="21" l="1"/>
  <c r="U35" i="21" l="1"/>
  <c r="T35" i="21"/>
  <c r="AB35" i="21"/>
  <c r="P36" i="21" l="1"/>
  <c r="U36" i="21" l="1"/>
  <c r="T36" i="21"/>
  <c r="AB36" i="21"/>
  <c r="P29" i="21"/>
  <c r="T29" i="21" l="1"/>
  <c r="AB29" i="21"/>
  <c r="U29" i="21"/>
  <c r="J24" i="32" l="1"/>
  <c r="O23" i="3" s="1"/>
  <c r="R23" i="3" s="1"/>
  <c r="P23" i="3" l="1"/>
  <c r="K321" i="29"/>
  <c r="F316" i="29" s="1"/>
  <c r="N316" i="29" s="1"/>
  <c r="N314" i="29" s="1"/>
  <c r="J20" i="2" s="1"/>
  <c r="AC20" i="2" l="1"/>
  <c r="X20" i="2"/>
  <c r="M20" i="2"/>
  <c r="H20" i="2" s="1"/>
  <c r="E4" i="23" l="1"/>
  <c r="D6" i="23"/>
  <c r="O30" i="3"/>
  <c r="R30" i="3" s="1"/>
  <c r="F5" i="23" l="1"/>
  <c r="O42" i="3" s="1"/>
  <c r="R42" i="3" s="1"/>
  <c r="F4" i="23"/>
  <c r="O41" i="3" s="1"/>
  <c r="R41" i="3" s="1"/>
  <c r="O33" i="3"/>
  <c r="R33" i="3" s="1"/>
  <c r="K440" i="29"/>
  <c r="E16" i="23"/>
  <c r="P30" i="3"/>
  <c r="K25" i="29"/>
  <c r="K79" i="29"/>
  <c r="F65" i="29" s="1"/>
  <c r="K363" i="29" l="1"/>
  <c r="F356" i="29" s="1"/>
  <c r="O29" i="3"/>
  <c r="R29" i="3" s="1"/>
  <c r="K87" i="29"/>
  <c r="G82" i="29" s="1"/>
  <c r="K569" i="29"/>
  <c r="M569" i="29" s="1"/>
  <c r="K177" i="29"/>
  <c r="K266" i="29"/>
  <c r="M266" i="29" s="1"/>
  <c r="K446" i="29"/>
  <c r="M446" i="29" s="1"/>
  <c r="K241" i="29"/>
  <c r="F233" i="29" s="1"/>
  <c r="K153" i="29"/>
  <c r="K35" i="29"/>
  <c r="K297" i="29"/>
  <c r="M297" i="29" s="1"/>
  <c r="K408" i="29"/>
  <c r="M408" i="29" s="1"/>
  <c r="K499" i="29"/>
  <c r="M499" i="29" s="1"/>
  <c r="K522" i="29"/>
  <c r="K282" i="29"/>
  <c r="L278" i="29" s="1"/>
  <c r="K228" i="29"/>
  <c r="K219" i="29" s="1"/>
  <c r="K480" i="29"/>
  <c r="M480" i="29" s="1"/>
  <c r="K10" i="29"/>
  <c r="K70" i="29"/>
  <c r="F64" i="29" s="1"/>
  <c r="K392" i="29"/>
  <c r="M392" i="29" s="1"/>
  <c r="O28" i="3"/>
  <c r="R28" i="3" s="1"/>
  <c r="K149" i="29"/>
  <c r="K175" i="29"/>
  <c r="K524" i="29"/>
  <c r="K264" i="29"/>
  <c r="M264" i="29" s="1"/>
  <c r="K341" i="29"/>
  <c r="M341" i="29" s="1"/>
  <c r="K442" i="29"/>
  <c r="K560" i="29"/>
  <c r="K558" i="29"/>
  <c r="M558" i="29" s="1"/>
  <c r="K343" i="29"/>
  <c r="F335" i="29" s="1"/>
  <c r="M363" i="29"/>
  <c r="K179" i="29"/>
  <c r="K474" i="29"/>
  <c r="K394" i="29"/>
  <c r="F386" i="29" s="1"/>
  <c r="K526" i="29"/>
  <c r="F6" i="29"/>
  <c r="O46" i="3"/>
  <c r="K45" i="29" l="1"/>
  <c r="R46" i="3"/>
  <c r="K5" i="29"/>
  <c r="K53" i="29"/>
  <c r="F5" i="29"/>
  <c r="G30" i="29"/>
  <c r="K56" i="29"/>
  <c r="F385" i="29"/>
  <c r="L293" i="29"/>
  <c r="G306" i="29" s="1"/>
  <c r="F142" i="29"/>
  <c r="G563" i="29"/>
  <c r="F401" i="29"/>
  <c r="F334" i="29"/>
  <c r="K233" i="29"/>
  <c r="G247" i="29" s="1"/>
  <c r="N255" i="29"/>
  <c r="N249" i="29" s="1"/>
  <c r="M17" i="2" s="1"/>
  <c r="H17" i="2" s="1"/>
  <c r="M282" i="29"/>
  <c r="M560" i="29"/>
  <c r="N552" i="29"/>
  <c r="G552" i="29"/>
  <c r="G278" i="29"/>
  <c r="F219" i="29"/>
  <c r="M464" i="29"/>
  <c r="M70" i="29"/>
  <c r="L12" i="29"/>
  <c r="M12" i="29" s="1"/>
  <c r="K64" i="29"/>
  <c r="K385" i="29"/>
  <c r="K141" i="29"/>
  <c r="G464" i="29"/>
  <c r="M343" i="29"/>
  <c r="K334" i="29"/>
  <c r="I553" i="29"/>
  <c r="O34" i="3"/>
  <c r="R34" i="3" s="1"/>
  <c r="M394" i="29"/>
  <c r="E5" i="23"/>
  <c r="E6" i="23"/>
  <c r="E17" i="23"/>
  <c r="N59" i="29" l="1"/>
  <c r="N306" i="29"/>
  <c r="N271" i="29" s="1"/>
  <c r="N247" i="29"/>
  <c r="N217" i="29" s="1"/>
  <c r="J16" i="2" s="1"/>
  <c r="J17" i="2"/>
  <c r="AC17" i="2" s="1"/>
  <c r="D18" i="23"/>
  <c r="E18" i="23" s="1"/>
  <c r="K444" i="29"/>
  <c r="K95" i="29"/>
  <c r="K30" i="29"/>
  <c r="F311" i="29" l="1"/>
  <c r="N311" i="29"/>
  <c r="N309" i="29" s="1"/>
  <c r="F326" i="29" s="1"/>
  <c r="M16" i="2"/>
  <c r="H16" i="2" s="1"/>
  <c r="X17" i="2"/>
  <c r="X16" i="2"/>
  <c r="AC16" i="2"/>
  <c r="J18" i="2"/>
  <c r="M18" i="2"/>
  <c r="H18" i="2" s="1"/>
  <c r="K493" i="29"/>
  <c r="K365" i="29"/>
  <c r="K181" i="29"/>
  <c r="K528" i="29"/>
  <c r="K410" i="29"/>
  <c r="K567" i="29"/>
  <c r="N563" i="29" s="1"/>
  <c r="G83" i="29"/>
  <c r="K82" i="29"/>
  <c r="G31" i="29"/>
  <c r="F434" i="29"/>
  <c r="N433" i="29"/>
  <c r="N326" i="29" l="1"/>
  <c r="N324" i="29" s="1"/>
  <c r="J19" i="2"/>
  <c r="AC19" i="2" s="1"/>
  <c r="M19" i="2"/>
  <c r="H19" i="2" s="1"/>
  <c r="AC18" i="2"/>
  <c r="X18" i="2"/>
  <c r="J14" i="2"/>
  <c r="N428" i="29"/>
  <c r="N49" i="29"/>
  <c r="G49" i="29"/>
  <c r="M410" i="29"/>
  <c r="K401" i="29"/>
  <c r="F402" i="29"/>
  <c r="F171" i="29"/>
  <c r="N170" i="29"/>
  <c r="N168" i="29" s="1"/>
  <c r="G483" i="29"/>
  <c r="M483" i="29"/>
  <c r="N104" i="29"/>
  <c r="G97" i="29"/>
  <c r="N97" i="29"/>
  <c r="I564" i="29"/>
  <c r="M567" i="29"/>
  <c r="F516" i="29"/>
  <c r="N515" i="29"/>
  <c r="F357" i="29"/>
  <c r="M365" i="29"/>
  <c r="K356" i="29"/>
  <c r="X19" i="2" l="1"/>
  <c r="AC14" i="2"/>
  <c r="K14" i="2"/>
  <c r="M14" i="2"/>
  <c r="H14" i="2" s="1"/>
  <c r="N3" i="29"/>
  <c r="M12" i="2"/>
  <c r="H12" i="2" s="1"/>
  <c r="J12" i="2"/>
  <c r="M27" i="2"/>
  <c r="H27" i="2" s="1"/>
  <c r="J27" i="2"/>
  <c r="N511" i="29"/>
  <c r="J33" i="2" s="1"/>
  <c r="G418" i="29"/>
  <c r="N418" i="29"/>
  <c r="N380" i="29"/>
  <c r="F380" i="29"/>
  <c r="N62" i="29"/>
  <c r="N102" i="29"/>
  <c r="N100" i="29" s="1"/>
  <c r="N502" i="29"/>
  <c r="H502" i="29"/>
  <c r="F166" i="29"/>
  <c r="N166" i="29"/>
  <c r="N162" i="29" s="1"/>
  <c r="F102" i="29"/>
  <c r="F116" i="29" l="1"/>
  <c r="N116" i="29"/>
  <c r="N113" i="29" s="1"/>
  <c r="J6" i="2"/>
  <c r="AC6" i="2" s="1"/>
  <c r="M11" i="2"/>
  <c r="H11" i="2" s="1"/>
  <c r="J11" i="2"/>
  <c r="M8" i="2"/>
  <c r="H8" i="2" s="1"/>
  <c r="J8" i="2"/>
  <c r="X33" i="2"/>
  <c r="AC33" i="2"/>
  <c r="M7" i="2"/>
  <c r="H7" i="2" s="1"/>
  <c r="J7" i="2"/>
  <c r="X27" i="2"/>
  <c r="AC27" i="2"/>
  <c r="AC12" i="2"/>
  <c r="X12" i="2"/>
  <c r="N159" i="29"/>
  <c r="N134" i="29" s="1"/>
  <c r="M6" i="2"/>
  <c r="H6" i="2" s="1"/>
  <c r="N383" i="29"/>
  <c r="N508" i="29"/>
  <c r="F530" i="29" s="1"/>
  <c r="F508" i="29"/>
  <c r="N460" i="29"/>
  <c r="F425" i="29"/>
  <c r="N425" i="29"/>
  <c r="F451" i="29" s="1"/>
  <c r="N332" i="29"/>
  <c r="M33" i="2"/>
  <c r="H33" i="2" s="1"/>
  <c r="F159" i="29"/>
  <c r="X6" i="2" l="1"/>
  <c r="M24" i="2"/>
  <c r="H24" i="2" s="1"/>
  <c r="J24" i="2"/>
  <c r="M10" i="2"/>
  <c r="H10" i="2" s="1"/>
  <c r="J10" i="2"/>
  <c r="AC7" i="2"/>
  <c r="X7" i="2"/>
  <c r="AC8" i="2"/>
  <c r="X8" i="2"/>
  <c r="X11" i="2"/>
  <c r="AC11" i="2"/>
  <c r="M31" i="2"/>
  <c r="H31" i="2" s="1"/>
  <c r="J31" i="2"/>
  <c r="M25" i="2"/>
  <c r="H25" i="2" s="1"/>
  <c r="J25" i="2"/>
  <c r="N421" i="29"/>
  <c r="N451" i="29"/>
  <c r="N449" i="29" s="1"/>
  <c r="N504" i="29"/>
  <c r="N530" i="29"/>
  <c r="J9" i="2"/>
  <c r="F187" i="29"/>
  <c r="J4" i="2" l="1"/>
  <c r="K4" i="2" s="1"/>
  <c r="X9" i="2"/>
  <c r="AC9" i="2"/>
  <c r="M32" i="2"/>
  <c r="H32" i="2" s="1"/>
  <c r="J32" i="2"/>
  <c r="M26" i="2"/>
  <c r="H26" i="2" s="1"/>
  <c r="J26" i="2"/>
  <c r="J22" i="2" s="1"/>
  <c r="K22" i="2" s="1"/>
  <c r="AC10" i="2"/>
  <c r="X10" i="2"/>
  <c r="AC24" i="2"/>
  <c r="X24" i="2"/>
  <c r="X25" i="2"/>
  <c r="AC25" i="2"/>
  <c r="X31" i="2"/>
  <c r="AC31" i="2"/>
  <c r="M9" i="2"/>
  <c r="H9" i="2" s="1"/>
  <c r="N187" i="29"/>
  <c r="AC22" i="2" l="1"/>
  <c r="AC26" i="2"/>
  <c r="X26" i="2"/>
  <c r="AC32" i="2"/>
  <c r="X32" i="2"/>
  <c r="M22" i="2"/>
  <c r="H22" i="2" s="1"/>
  <c r="F535" i="29"/>
  <c r="N535" i="29"/>
  <c r="N540" i="29" s="1"/>
  <c r="N538" i="29" s="1"/>
  <c r="M4" i="2"/>
  <c r="H4" i="2" s="1"/>
  <c r="M35" i="2" l="1"/>
  <c r="H35" i="2" s="1"/>
  <c r="J35" i="2"/>
  <c r="N533" i="29"/>
  <c r="J34" i="2" s="1"/>
  <c r="F545" i="29"/>
  <c r="F540" i="29"/>
  <c r="N545" i="29"/>
  <c r="N571" i="29" s="1"/>
  <c r="AC34" i="2" l="1"/>
  <c r="X34" i="2"/>
  <c r="X35" i="2"/>
  <c r="AC35" i="2"/>
  <c r="G571" i="29"/>
  <c r="M34" i="2"/>
  <c r="H34" i="2" s="1"/>
  <c r="N543" i="29" l="1"/>
  <c r="J36" i="2" s="1"/>
  <c r="F574" i="29"/>
  <c r="AC36" i="2" l="1"/>
  <c r="X36" i="2"/>
  <c r="J29" i="2"/>
  <c r="K29" i="2" s="1"/>
  <c r="M36" i="2"/>
  <c r="H36" i="2" s="1"/>
  <c r="N574" i="29"/>
  <c r="AC29" i="2" l="1"/>
  <c r="J39" i="2"/>
  <c r="M29" i="2"/>
  <c r="H29" i="2" s="1"/>
  <c r="N581" i="29"/>
  <c r="F601" i="29" s="1"/>
  <c r="N601" i="29" s="1"/>
  <c r="F581" i="29"/>
  <c r="H39" i="2" l="1"/>
  <c r="H43" i="2" s="1"/>
  <c r="H51" i="2" s="1"/>
  <c r="K39" i="2"/>
  <c r="N4" i="2"/>
  <c r="N6" i="2"/>
  <c r="P6" i="2" s="1"/>
  <c r="H47" i="2"/>
  <c r="J43" i="2"/>
  <c r="BF6" i="42"/>
  <c r="BK6" i="42" s="1"/>
  <c r="J47" i="2"/>
  <c r="N29" i="2"/>
  <c r="N19" i="2"/>
  <c r="P19" i="2" s="1"/>
  <c r="R19" i="2" s="1"/>
  <c r="N17" i="2"/>
  <c r="P17" i="2" s="1"/>
  <c r="R17" i="2" s="1"/>
  <c r="AC39" i="2"/>
  <c r="N20" i="2"/>
  <c r="P20" i="2" s="1"/>
  <c r="R20" i="2" s="1"/>
  <c r="N16" i="2"/>
  <c r="P16" i="2" s="1"/>
  <c r="R16" i="2" s="1"/>
  <c r="N14" i="2"/>
  <c r="N18" i="2"/>
  <c r="P18" i="2" s="1"/>
  <c r="R18" i="2" s="1"/>
  <c r="N33" i="2"/>
  <c r="P33" i="2" s="1"/>
  <c r="R33" i="2" s="1"/>
  <c r="N27" i="2"/>
  <c r="P27" i="2" s="1"/>
  <c r="R27" i="2" s="1"/>
  <c r="N12" i="2"/>
  <c r="P12" i="2" s="1"/>
  <c r="R12" i="2" s="1"/>
  <c r="N7" i="2"/>
  <c r="P7" i="2" s="1"/>
  <c r="R7" i="2" s="1"/>
  <c r="N11" i="2"/>
  <c r="P11" i="2" s="1"/>
  <c r="R11" i="2" s="1"/>
  <c r="N8" i="2"/>
  <c r="P8" i="2" s="1"/>
  <c r="R8" i="2" s="1"/>
  <c r="N9" i="2"/>
  <c r="P9" i="2" s="1"/>
  <c r="R9" i="2" s="1"/>
  <c r="N25" i="2"/>
  <c r="P25" i="2" s="1"/>
  <c r="R25" i="2" s="1"/>
  <c r="N31" i="2"/>
  <c r="P31" i="2" s="1"/>
  <c r="R31" i="2" s="1"/>
  <c r="N10" i="2"/>
  <c r="P10" i="2" s="1"/>
  <c r="R10" i="2" s="1"/>
  <c r="N24" i="2"/>
  <c r="P24" i="2" s="1"/>
  <c r="R24" i="2" s="1"/>
  <c r="N26" i="2"/>
  <c r="P26" i="2" s="1"/>
  <c r="R26" i="2" s="1"/>
  <c r="N22" i="2"/>
  <c r="N32" i="2"/>
  <c r="P32" i="2" s="1"/>
  <c r="R32" i="2" s="1"/>
  <c r="N34" i="2"/>
  <c r="P34" i="2" s="1"/>
  <c r="R34" i="2" s="1"/>
  <c r="N35" i="2"/>
  <c r="P35" i="2" s="1"/>
  <c r="R35" i="2" s="1"/>
  <c r="N36" i="2"/>
  <c r="P36" i="2" s="1"/>
  <c r="R36" i="2" s="1"/>
  <c r="M39" i="2"/>
  <c r="K601" i="29"/>
  <c r="J51" i="2" l="1"/>
  <c r="N52" i="2"/>
  <c r="P4" i="2"/>
  <c r="R4" i="2" s="1"/>
  <c r="T4" i="2" s="1"/>
  <c r="V4" i="2" s="1"/>
  <c r="X4" i="2" s="1"/>
  <c r="Z4" i="2" s="1"/>
  <c r="AB4" i="2" s="1"/>
  <c r="P3" i="2"/>
  <c r="R3" i="2" s="1"/>
  <c r="R6" i="2"/>
  <c r="AC43" i="2"/>
  <c r="M43" i="2"/>
  <c r="O4" i="2"/>
  <c r="Q4" i="2" s="1"/>
  <c r="S4" i="2" s="1"/>
  <c r="U4" i="2" s="1"/>
  <c r="W4" i="2" s="1"/>
  <c r="Y4" i="2" s="1"/>
  <c r="AA4" i="2" s="1"/>
  <c r="AC4" i="2" s="1"/>
  <c r="O601" i="29"/>
  <c r="P601" i="29" s="1"/>
  <c r="N603" i="29"/>
  <c r="AC51" i="2" l="1"/>
  <c r="O67" i="3"/>
  <c r="M51" i="2"/>
  <c r="M47" i="2"/>
</calcChain>
</file>

<file path=xl/sharedStrings.xml><?xml version="1.0" encoding="utf-8"?>
<sst xmlns="http://schemas.openxmlformats.org/spreadsheetml/2006/main" count="4294" uniqueCount="1006">
  <si>
    <t>A</t>
  </si>
  <si>
    <t>COSTOS ASOCIADOS AL PERSONAL</t>
  </si>
  <si>
    <t xml:space="preserve">A1 </t>
  </si>
  <si>
    <t>Horas Hombre del Personal de Conducción</t>
  </si>
  <si>
    <t>=</t>
  </si>
  <si>
    <t>Donde:</t>
  </si>
  <si>
    <t>cantidad de horas netas abonadas por mes a los conductores</t>
  </si>
  <si>
    <t>192 (hs / mes)</t>
  </si>
  <si>
    <t>A2</t>
  </si>
  <si>
    <t>Incidencia Económica por Horas Extras</t>
  </si>
  <si>
    <t>Cp2 =</t>
  </si>
  <si>
    <t xml:space="preserve">IL </t>
  </si>
  <si>
    <t xml:space="preserve">Hn </t>
  </si>
  <si>
    <t>coeficiente de horas extras</t>
  </si>
  <si>
    <t>A3</t>
  </si>
  <si>
    <t>Horas de presonal de Taller y Adiministración</t>
  </si>
  <si>
    <t>Cp3 =</t>
  </si>
  <si>
    <t>0,43 . (Cp1 + Cp2)</t>
  </si>
  <si>
    <t>Según la composición porcentual media del personal en relación de dependencia el 70% corresponde al personal de conducción y el restante30% a mecánicos y administrativos; por ende se adopta el 43% sobre la remuneración del personal de conducción</t>
  </si>
  <si>
    <t>A4</t>
  </si>
  <si>
    <t>Cargas Sociales</t>
  </si>
  <si>
    <t>(Cp4)</t>
  </si>
  <si>
    <t>(Cp3)</t>
  </si>
  <si>
    <t>(Cp2)</t>
  </si>
  <si>
    <t>(Cp1)</t>
  </si>
  <si>
    <t>Cp4 =</t>
  </si>
  <si>
    <t>ccs . (Cp1 + Cp2 + Cp3)</t>
  </si>
  <si>
    <t>ccs</t>
  </si>
  <si>
    <t>Porcentaje de Cargas Sociales. Contempla los siguientes items:</t>
  </si>
  <si>
    <t>Sobre S.A.C.</t>
  </si>
  <si>
    <t>Previsión por despido</t>
  </si>
  <si>
    <t>Casfec</t>
  </si>
  <si>
    <t>Obra Social</t>
  </si>
  <si>
    <t>ANSES</t>
  </si>
  <si>
    <t>Sobre Sueldo</t>
  </si>
  <si>
    <t>A5</t>
  </si>
  <si>
    <t>Seguro del Personal</t>
  </si>
  <si>
    <t>Atento que los montos de las primas consideran, entre otras variables, la categoría del personal, riesgo cubierto, cantidad de empleado asegurado, etc., se adoptará para todo el personal, el 75% de las primas mayores que corresponden al personal de conducción</t>
  </si>
  <si>
    <t>Coeficiente de incidencia</t>
  </si>
  <si>
    <t>IART =</t>
  </si>
  <si>
    <t>0,75 . MT</t>
  </si>
  <si>
    <t>MT</t>
  </si>
  <si>
    <t>SBcu</t>
  </si>
  <si>
    <t>El costo del seguro del personal será</t>
  </si>
  <si>
    <t xml:space="preserve">Cp5 = </t>
  </si>
  <si>
    <t>IART . (Cp1 + Cp3)</t>
  </si>
  <si>
    <t>A6</t>
  </si>
  <si>
    <t>Indumentaria</t>
  </si>
  <si>
    <t>U</t>
  </si>
  <si>
    <t>Costo de los uniformes según convenio</t>
  </si>
  <si>
    <t>Km</t>
  </si>
  <si>
    <t>El costo total asociado al personal es:</t>
  </si>
  <si>
    <t>(Cp5)</t>
  </si>
  <si>
    <t>(Cp6)</t>
  </si>
  <si>
    <t>B</t>
  </si>
  <si>
    <t>COSTOS VARIABLE ASOCIADOS AL VEHICULO</t>
  </si>
  <si>
    <t>(CV)</t>
  </si>
  <si>
    <t>B1</t>
  </si>
  <si>
    <t>Combustible</t>
  </si>
  <si>
    <t>B2</t>
  </si>
  <si>
    <t>Neumáticos</t>
  </si>
  <si>
    <t>Consumo de neumáticos en vehículos</t>
  </si>
  <si>
    <t>Consumo de neumático por kilómetro (6 neumáticos nuevos + 3,6 recapados) sobre 84.000 km</t>
  </si>
  <si>
    <t>Nc</t>
  </si>
  <si>
    <t>B3</t>
  </si>
  <si>
    <t>Reparación Neumáticos</t>
  </si>
  <si>
    <t>B4</t>
  </si>
  <si>
    <t>Lavado y Engrase</t>
  </si>
  <si>
    <t>Cve =</t>
  </si>
  <si>
    <t>E</t>
  </si>
  <si>
    <t>3000 km</t>
  </si>
  <si>
    <t>Costo del lavado y engrase x vehículo</t>
  </si>
  <si>
    <t>El costo total variable asociado al vehículo es:</t>
  </si>
  <si>
    <t xml:space="preserve">CV = </t>
  </si>
  <si>
    <t>C</t>
  </si>
  <si>
    <t>COSTOS FIJOS ASOCIADOS AL VEHICULO</t>
  </si>
  <si>
    <t>(CF)</t>
  </si>
  <si>
    <t>(Cve)</t>
  </si>
  <si>
    <t>(Cvr)</t>
  </si>
  <si>
    <t>(Cvn)</t>
  </si>
  <si>
    <t>(Cvc)</t>
  </si>
  <si>
    <t>C1</t>
  </si>
  <si>
    <t>Amortización</t>
  </si>
  <si>
    <t>Ta</t>
  </si>
  <si>
    <t>(Cfa)</t>
  </si>
  <si>
    <t>C2</t>
  </si>
  <si>
    <t>Interes del Capital Invertido</t>
  </si>
  <si>
    <t>(Cfc)</t>
  </si>
  <si>
    <t>Ti</t>
  </si>
  <si>
    <t>C3</t>
  </si>
  <si>
    <t>Reparaciones y Repuestos</t>
  </si>
  <si>
    <t>Se considera como un porcentaje del costo de amortización (Cfa), adoptándola en éste caso 100%</t>
  </si>
  <si>
    <t>Cfr =</t>
  </si>
  <si>
    <t>Cfa</t>
  </si>
  <si>
    <t>C4</t>
  </si>
  <si>
    <t>Seguro</t>
  </si>
  <si>
    <t xml:space="preserve"> </t>
  </si>
  <si>
    <t>Incluye el seguro de responsabilidad civil previsto en la Ley 8.669 y su reglamentación, y cobertura adicionales dependientes del valor de la unidad. Se considera un 30% adicional atento el régimen de franquicia por el cual la empresa debe absorver todo siniestro menor a $40.000</t>
  </si>
  <si>
    <t>Cfs =</t>
  </si>
  <si>
    <t>1,30 . Mp</t>
  </si>
  <si>
    <t>Mp</t>
  </si>
  <si>
    <t>El costo total fijo asociado al vehículo es:</t>
  </si>
  <si>
    <t>CF =</t>
  </si>
  <si>
    <t>Cfa + Cfc + Cfr + Cfs</t>
  </si>
  <si>
    <t>D</t>
  </si>
  <si>
    <t>COSTOS EMPRESARIOS IMPOSITIVOS</t>
  </si>
  <si>
    <t>(Cfr)</t>
  </si>
  <si>
    <t>(Cfs)</t>
  </si>
  <si>
    <t>(CE)</t>
  </si>
  <si>
    <t>D1</t>
  </si>
  <si>
    <t>Varios</t>
  </si>
  <si>
    <t>(Cev)</t>
  </si>
  <si>
    <t>D1.1</t>
  </si>
  <si>
    <t>Depreciación de Bienes Muebles e Inmuebles</t>
  </si>
  <si>
    <t>(Cd)</t>
  </si>
  <si>
    <t>Se adopta el 2% de la depreciación del material rodante</t>
  </si>
  <si>
    <t>Cdm =</t>
  </si>
  <si>
    <t>D1.2</t>
  </si>
  <si>
    <t>Interes sobre capital de bienes muebles e inmuebles</t>
  </si>
  <si>
    <t>(Cim)</t>
  </si>
  <si>
    <t>Se adopta el 10% del rubro interés sobre el capital de vehículos</t>
  </si>
  <si>
    <t>Cim =</t>
  </si>
  <si>
    <t>0,1 . Cfc</t>
  </si>
  <si>
    <t>D1.3</t>
  </si>
  <si>
    <t>Patente</t>
  </si>
  <si>
    <t>El monto anual se pondera de acuerdo a la composición de la flota</t>
  </si>
  <si>
    <t>Cp =</t>
  </si>
  <si>
    <t>Pp</t>
  </si>
  <si>
    <t>Monto anual de patente ponderado de acuerdo a la composición de la flota</t>
  </si>
  <si>
    <t>(Cp)</t>
  </si>
  <si>
    <t>Cd + Cim + Cp =</t>
  </si>
  <si>
    <t>D2</t>
  </si>
  <si>
    <t>Gastos Generales</t>
  </si>
  <si>
    <t>Ceg =</t>
  </si>
  <si>
    <t>D3</t>
  </si>
  <si>
    <t>Beneficios</t>
  </si>
  <si>
    <t xml:space="preserve">Ceb = </t>
  </si>
  <si>
    <t>0,10 . (CP + CV + CF + Cev + Ceg) =</t>
  </si>
  <si>
    <t>0,03 . (CP + CV + CF + Cev) =</t>
  </si>
  <si>
    <t>D4</t>
  </si>
  <si>
    <t>Impuestos</t>
  </si>
  <si>
    <t>Ceit =</t>
  </si>
  <si>
    <t>Pi . (CP + CV + CF + Cev + Ceg + Ceb) =</t>
  </si>
  <si>
    <t>Pi</t>
  </si>
  <si>
    <t>CE =</t>
  </si>
  <si>
    <t>Cev + Ceg + Ceb + Cei =</t>
  </si>
  <si>
    <t>El total de costos medios presupuestados surge de sumar:</t>
  </si>
  <si>
    <t>C =</t>
  </si>
  <si>
    <t>VALOR BASICO DE LA TARIFA</t>
  </si>
  <si>
    <t>(TB)</t>
  </si>
  <si>
    <t>COSTOS MEDIOS PRESUPUESTADOS</t>
  </si>
  <si>
    <t>(Cei)</t>
  </si>
  <si>
    <t>(Ceb)</t>
  </si>
  <si>
    <t>(Ceg)</t>
  </si>
  <si>
    <t>TB =</t>
  </si>
  <si>
    <t>Horas del Personal de Taller y Administración</t>
  </si>
  <si>
    <t>COSTOS VARIABLES ASOCIADOS AL VEHICULO</t>
  </si>
  <si>
    <t>Lubricantes</t>
  </si>
  <si>
    <t>COSTOS EMPRESARIOS E IMPOSITIVOS</t>
  </si>
  <si>
    <t>Depreciación de bienes muebles e inmuebles</t>
  </si>
  <si>
    <t>Interés sobre el capital de bienes muebles e inmuebles</t>
  </si>
  <si>
    <t>Patentes</t>
  </si>
  <si>
    <t>Interés sobre Capital Invertido</t>
  </si>
  <si>
    <t>Cvr =</t>
  </si>
  <si>
    <t>Cev =</t>
  </si>
  <si>
    <t xml:space="preserve">CP + CF + CV + CE </t>
  </si>
  <si>
    <t>(Cvl)</t>
  </si>
  <si>
    <t>Cvlc</t>
  </si>
  <si>
    <t>B5</t>
  </si>
  <si>
    <t>Cvc + Cvl + Cvn + Cvr + Cve</t>
  </si>
  <si>
    <t>coeficientes de incidencia de horas pagas y no trabajadas</t>
  </si>
  <si>
    <t>Cnc</t>
  </si>
  <si>
    <t>CODIGO</t>
  </si>
  <si>
    <t>DESCRIPCION</t>
  </si>
  <si>
    <t>Hn</t>
  </si>
  <si>
    <t>IL</t>
  </si>
  <si>
    <t>CPMp</t>
  </si>
  <si>
    <t>ccvc</t>
  </si>
  <si>
    <t>Clvc</t>
  </si>
  <si>
    <t>Vu</t>
  </si>
  <si>
    <t>RTM</t>
  </si>
  <si>
    <t>Recorrido Total Mensual</t>
  </si>
  <si>
    <t>Sbcu</t>
  </si>
  <si>
    <t>Vrm</t>
  </si>
  <si>
    <t>IMEn</t>
  </si>
  <si>
    <t>Ccu</t>
  </si>
  <si>
    <t>Heu</t>
  </si>
  <si>
    <t>Ng</t>
  </si>
  <si>
    <t>Un. de valuación (medidas 900x20) 1 cubierta nueva + 1 cámara + 1 protector + 0,6 (1 cub. recap. + 1 camara + 1 protec.)</t>
  </si>
  <si>
    <t>Cvr</t>
  </si>
  <si>
    <t>Según la composición porcentual media del personal en relación de dependencia el 70% corresponde al personal de conducción y el restante 30% a mecánicos y administrativos; por ende se adopta el 43% sobre la remuneración del personal de conducción</t>
  </si>
  <si>
    <t>Cp1 (m) =</t>
  </si>
  <si>
    <t>Pm . Hn . SHm . IL . ITDm . Ccm</t>
  </si>
  <si>
    <t>Pm</t>
  </si>
  <si>
    <t>porcentaje de participación de empresas metropolitanas</t>
  </si>
  <si>
    <t>SHm</t>
  </si>
  <si>
    <t>kilometraje mensual medio recorrido por empresa metropolitana</t>
  </si>
  <si>
    <t>ITDm</t>
  </si>
  <si>
    <t>coeficiente de incidencia de tome y deje de servicio</t>
  </si>
  <si>
    <t>Ccm</t>
  </si>
  <si>
    <t>cantidad de conductores por unidad para empresas metropolitanas</t>
  </si>
  <si>
    <t>Cp1 (r.)</t>
  </si>
  <si>
    <t>donde:</t>
  </si>
  <si>
    <t>Pr</t>
  </si>
  <si>
    <t>SHr</t>
  </si>
  <si>
    <t>ITDr</t>
  </si>
  <si>
    <t>porcentaje de participación de empresas rurales</t>
  </si>
  <si>
    <t>192 (hs x mes)</t>
  </si>
  <si>
    <t>coeficiente de incidencia de horas pagas y no trabajadas</t>
  </si>
  <si>
    <t>kilometraje mensual medio recorrido por empresa rural</t>
  </si>
  <si>
    <t xml:space="preserve">Ccr </t>
  </si>
  <si>
    <t>cantidad de conductores por unidad para empresa rural</t>
  </si>
  <si>
    <t>Cp1=</t>
  </si>
  <si>
    <t>Pm . He . SHm . IMEm</t>
  </si>
  <si>
    <t>Hem</t>
  </si>
  <si>
    <t>IMEm</t>
  </si>
  <si>
    <t>kilometraje mensual medio recorrido por empresas metropolitanas</t>
  </si>
  <si>
    <t>Pr . He . SHr . IMEr</t>
  </si>
  <si>
    <t>km (r.)</t>
  </si>
  <si>
    <t>IMEr</t>
  </si>
  <si>
    <t>Cp2=</t>
  </si>
  <si>
    <t>Cp2 (m) + Cp2 (r.)</t>
  </si>
  <si>
    <t>Cp1 (m) + Cp1 (r.)</t>
  </si>
  <si>
    <t>12 . (Pm . SBcu + Pr. SBcg)</t>
  </si>
  <si>
    <t>SBcg</t>
  </si>
  <si>
    <t>monto anual de la prima para personal de conducción</t>
  </si>
  <si>
    <t>sueldo básico del convenio del personal de conducción empresas metropolitanas</t>
  </si>
  <si>
    <t>sueldo básico del convenio del personal de conducción empresas rurales</t>
  </si>
  <si>
    <t>Viáticos</t>
  </si>
  <si>
    <t>Cp6=</t>
  </si>
  <si>
    <t>A7</t>
  </si>
  <si>
    <t>(Cp7)</t>
  </si>
  <si>
    <t xml:space="preserve">Cp7= </t>
  </si>
  <si>
    <t>(Pm . Km) + (Pr . Km (r.))</t>
  </si>
  <si>
    <t>Km (r.)</t>
  </si>
  <si>
    <t>kilometraje medio anual recorrido por vehículo en empresa metropolitana</t>
  </si>
  <si>
    <t>kilometraje medio anual recorrido por vehículo en empresa rural</t>
  </si>
  <si>
    <t>Porcentaje de participación de empresas metropolitanas</t>
  </si>
  <si>
    <t>Porcentaje de participación de empresas rurales</t>
  </si>
  <si>
    <t>A los efectos de analizar los costos asociados al vehiculo se ha considerado la composición del parque móvil de acuerdo a la cantidad de asientos</t>
  </si>
  <si>
    <t>Vch</t>
  </si>
  <si>
    <t>Vm</t>
  </si>
  <si>
    <t>Vg</t>
  </si>
  <si>
    <t>Vehículos medianos entre 41 y 49 asientos</t>
  </si>
  <si>
    <t>Vehículos chicos hasta 41 asientos</t>
  </si>
  <si>
    <t>Vehículos grandes desde 50 asientos en adelante</t>
  </si>
  <si>
    <t>Composición de la flota</t>
  </si>
  <si>
    <t>Empresas Metropolitanas</t>
  </si>
  <si>
    <t>Vehículos chicos</t>
  </si>
  <si>
    <t>Vehículos medianos</t>
  </si>
  <si>
    <t>Empresas Rurales</t>
  </si>
  <si>
    <t>Vehículos grandes</t>
  </si>
  <si>
    <t>Cvcm =</t>
  </si>
  <si>
    <t>Pm . (0,7 / ccvc + 0,3 / ccvm) . Gm</t>
  </si>
  <si>
    <t>Gm</t>
  </si>
  <si>
    <t>ccvm</t>
  </si>
  <si>
    <t>consumo de combustibe de Vch</t>
  </si>
  <si>
    <t>consumo de combustibe de Vm</t>
  </si>
  <si>
    <t>Cvcr=</t>
  </si>
  <si>
    <t>Gr</t>
  </si>
  <si>
    <t>precio de Gas Oil considerado para las empresas metropolitanas</t>
  </si>
  <si>
    <t>precio de Gas Oil considerado para las empresas rurales</t>
  </si>
  <si>
    <t>ccvg</t>
  </si>
  <si>
    <t>consumo de combustibe de Vg</t>
  </si>
  <si>
    <t>Cvc =</t>
  </si>
  <si>
    <t>Cvcm + Cvcr</t>
  </si>
  <si>
    <t xml:space="preserve">El consumo de lubricante de motor de vehículos chicos es de 16,5 litros cada 6.000 km, mientras que el Consumo de lubricante de motor de vehículos medianos y </t>
  </si>
  <si>
    <t>simplificando se pueden adoptar los siguientes consumos</t>
  </si>
  <si>
    <t>Cvl=</t>
  </si>
  <si>
    <t>Clvmg</t>
  </si>
  <si>
    <t>consumo de lubricantes para vehículos chicos cada 10.000kms</t>
  </si>
  <si>
    <t>consumo de lubricantes para vehículos medianos y grandes cada 1000 km.</t>
  </si>
  <si>
    <t>precio de aceite para motor: como unidad de evaluación se toma el tambor de 200 litros</t>
  </si>
  <si>
    <t>Se considera una vida útil de 60.000 km. Para una cubierta nueva, más un recapado con prolongación de 40.000 km más en el 60% de los casos: Ellos implica una vida media de 84.000 km. Para vehículos afectados al servicio se adopta: 50% neumáticos tamaño 900 x 20 y 50% de tamaño 1000 x 20. Para los vehículos rurales se adopta 100% de neumáticos tamaño 1100 x 20. Asimismo, se estima que la incidencia de grandes vehículos con eje tándem trasero en el 30%</t>
  </si>
  <si>
    <t xml:space="preserve">Cvnm = </t>
  </si>
  <si>
    <t>Cvnr  =</t>
  </si>
  <si>
    <t>Cvn =</t>
  </si>
  <si>
    <t>Cvnm + Cvnr</t>
  </si>
  <si>
    <t>0,1 . Cvn</t>
  </si>
  <si>
    <t xml:space="preserve">Ta . Pm . Vpm </t>
  </si>
  <si>
    <t xml:space="preserve">Km </t>
  </si>
  <si>
    <t>Cfam=</t>
  </si>
  <si>
    <t>Valor ponderado de un vehículo nuevo para empresas metropolitanas</t>
  </si>
  <si>
    <t>Vpm =</t>
  </si>
  <si>
    <t>0,70 . Vc + 0,30 . Vm</t>
  </si>
  <si>
    <t>tasa anual de amortización</t>
  </si>
  <si>
    <t>Vc</t>
  </si>
  <si>
    <t>valor de una unidad nueva chica</t>
  </si>
  <si>
    <t>valor de una unidad nueva mediana</t>
  </si>
  <si>
    <t>Cfar=</t>
  </si>
  <si>
    <t>Ta . Pr . Vpr</t>
  </si>
  <si>
    <t xml:space="preserve">Pr </t>
  </si>
  <si>
    <t>Valor ponderado de un vehículo nuevo para empresas rurales</t>
  </si>
  <si>
    <t>Vpr=</t>
  </si>
  <si>
    <t>0,15 . Vc + 0,45 . Vm + 0,40 . VG</t>
  </si>
  <si>
    <t>valor de una unidad nueva grande</t>
  </si>
  <si>
    <t>Cfa =</t>
  </si>
  <si>
    <t>Cfam + Cfar</t>
  </si>
  <si>
    <t>Cfcm =</t>
  </si>
  <si>
    <t>Ti . Pm . (1 - Am . Ta) x Vpm</t>
  </si>
  <si>
    <t>tasa anual sobre el capital invertido</t>
  </si>
  <si>
    <t>Am</t>
  </si>
  <si>
    <t>antigüedad promedio de la flota</t>
  </si>
  <si>
    <t>Vpm</t>
  </si>
  <si>
    <t>Cfcr =</t>
  </si>
  <si>
    <t>Ti . Pr . (1 - Am . Ta) x Vpr</t>
  </si>
  <si>
    <t>Vpr</t>
  </si>
  <si>
    <t>Cfc =</t>
  </si>
  <si>
    <t>Cfcm + Cfcr</t>
  </si>
  <si>
    <t>monto de la prima mensual en pesos</t>
  </si>
  <si>
    <t>kilometraje medio mensual recorrido por vehículo para empresas metropolitanas</t>
  </si>
  <si>
    <t>kilometraje medio mensual recorrido por vehículo para empresas rurales</t>
  </si>
  <si>
    <t>vida útil de la unidad</t>
  </si>
  <si>
    <t>valor ponderado de un vehículo nuevo para empresas metropolitanas</t>
  </si>
  <si>
    <t>Antigüedad promedio de la flota</t>
  </si>
  <si>
    <t>Ai</t>
  </si>
  <si>
    <t>Antigüedad ideal de la flota</t>
  </si>
  <si>
    <t>porcentaje de participación en empresas metropolitanas</t>
  </si>
  <si>
    <t>Cdr =</t>
  </si>
  <si>
    <t>Vrr</t>
  </si>
  <si>
    <t>valor ponderado de un vehículo nuevo para empresas rural</t>
  </si>
  <si>
    <t>porcentaje de participación en empresas rural</t>
  </si>
  <si>
    <t>Cd =</t>
  </si>
  <si>
    <t>Cdm + Cdr</t>
  </si>
  <si>
    <t>Km . Pm . + Km (r.) . Pr</t>
  </si>
  <si>
    <t>monto anual de patente ponderado de acuerdo a la composición de la flota</t>
  </si>
  <si>
    <t>kilometraje medio anual recorrido por vehículo  empresas metropolitanas</t>
  </si>
  <si>
    <t>kilometraje medio anual recorrido por vehículo  empresas rurales</t>
  </si>
  <si>
    <t>Cp2 (r.) =</t>
  </si>
  <si>
    <t>km (m)</t>
  </si>
  <si>
    <t>Pr . Hn . SHr . IL . ITDr . Ccr</t>
  </si>
  <si>
    <t>Her</t>
  </si>
  <si>
    <t>cantidad de horas extras abonadas por mes a los conductores por vehículo metropolitanas</t>
  </si>
  <si>
    <t>Km (m)</t>
  </si>
  <si>
    <t>Km (r)</t>
  </si>
  <si>
    <t>L</t>
  </si>
  <si>
    <t>[(Pm x (0,7 . Clvc + 0,3 . Clvmg) )+( Pr x (0,15 . Clvc + 0,45 . Clvmg + 0,4 . Clvmg))] x L</t>
  </si>
  <si>
    <t>Pm . km (m) + Pr . km (r.)</t>
  </si>
  <si>
    <t>valor residual de un vehículo de empresa metropolitana (15% del valor de la unidad nueva)</t>
  </si>
  <si>
    <t>valor residual de un vehículo de empresa rural (15% del valor de la unidad nueva)</t>
  </si>
  <si>
    <t>Vrp</t>
  </si>
  <si>
    <t>0,02 . Pr . [(Vpr - Vrr)] / (Km(r.) . Vu) - 0,05 . (Am - Ai)]=</t>
  </si>
  <si>
    <t>0,02 . Pm . [(Vpm - Vrm) / (km . Vu) - 0,05 . (Am - Ai)]=</t>
  </si>
  <si>
    <t>Se considera para un promedio 41 asientos para vehículos chicos, 45 para unidades medianas y 50 para coches grandes</t>
  </si>
  <si>
    <t>Cetam =</t>
  </si>
  <si>
    <t>Taa</t>
  </si>
  <si>
    <t>monto de la tasa por asiento anual</t>
  </si>
  <si>
    <t>Cetar =</t>
  </si>
  <si>
    <t>Taa . (Pm . ((0,7 . 41) + (0,3 . 45)))</t>
  </si>
  <si>
    <t>Taa . (Pm . ((0,15 . 41) + (0,45 . 45)+ (0,40 . 50))) =</t>
  </si>
  <si>
    <t>Cei =</t>
  </si>
  <si>
    <t>Ceit + Cetam + Cetar</t>
  </si>
  <si>
    <t>CANTIDAD DE PASAJEROS QUE ABONAN BOLETO</t>
  </si>
  <si>
    <t>NPPE</t>
  </si>
  <si>
    <t>NPPE=</t>
  </si>
  <si>
    <t>RBM</t>
  </si>
  <si>
    <t>TBK</t>
  </si>
  <si>
    <t>Recaudación Bruta Mensual</t>
  </si>
  <si>
    <t>Tarifa Básica Kilométrica vigente</t>
  </si>
  <si>
    <t>N.P.P.E.</t>
  </si>
  <si>
    <t>Pr . (0,15 / ccvc + 0,45 / ccvm + 0,4 / ccvg) . Gr =</t>
  </si>
  <si>
    <t>RTM * TBK</t>
  </si>
  <si>
    <t>TBK actual</t>
  </si>
  <si>
    <t xml:space="preserve">sueldo básico conductor guarda c/ 10 años de antig. </t>
  </si>
  <si>
    <t>sueldo básico conductor guarda</t>
  </si>
  <si>
    <t xml:space="preserve">sueldo básico de convenio conductor guarda único c/ 10 años de antigüedad </t>
  </si>
  <si>
    <t>VALOR TOTAL DE LA TARIFA</t>
  </si>
  <si>
    <t>Un. de valuación (medidas 295/80 r22,5) + 0,6 (1 cub. recap. )</t>
  </si>
  <si>
    <t>grande asciende a 21 litros cada 6000 km. Dado que en términos económicos el costo del lubricante de caja y diferencial resulta del orden del 20% del aceite del motor,</t>
  </si>
  <si>
    <t xml:space="preserve">                 km (r.)</t>
  </si>
  <si>
    <t>Se estima que representa el 18% de los costos del personal de conducción</t>
  </si>
  <si>
    <t>0,18 . (Cp1 + Cp2)</t>
  </si>
  <si>
    <t>Variación de la tarifa</t>
  </si>
  <si>
    <t>sueldo básico de convenio conductor guarda único c/ 10 años de antigüedad (8965 x 1,1)</t>
  </si>
  <si>
    <t>Cng</t>
  </si>
  <si>
    <t>Consumo de neumático de 2 ejes por kilómetro (6 neumáticos nuevos + 3,6 recapados) sobre 84.000 km</t>
  </si>
  <si>
    <t>Consumo de neumático de tres ejes por kilómetro (10 neumáticos nuevos + 3,6 recapados) sobre 84.000 km</t>
  </si>
  <si>
    <t>Casfec / Fdo. Desempleo</t>
  </si>
  <si>
    <t>cantidad de horas extras abonadas por mes a los conductores por vehículos rurales</t>
  </si>
  <si>
    <t>Nm</t>
  </si>
  <si>
    <t>Un. de valuación (medidas 900 r22,5) + 0,6 (1 cub. recap. )</t>
  </si>
  <si>
    <t>Pr . (0,70 . Cnc . Ng + 0,30 . Cnc . Ng)</t>
  </si>
  <si>
    <t>Un. de valuación (medidas 295/80 r22,5) 1 cubierta nueva + 0,6 (1 cub recap.)</t>
  </si>
  <si>
    <t>Pm . (0,50 . Cnc . Nc + 0,50 . Cnc . Ng)</t>
  </si>
  <si>
    <t>BASE DE DATOS (DATOS ACTUALES)</t>
  </si>
  <si>
    <t>Porcentaje de impuestos correspondientes a ingresos brutos (3,5%)</t>
  </si>
  <si>
    <t>Cp1 nr =</t>
  </si>
  <si>
    <t>Cp1 nr (m)=</t>
  </si>
  <si>
    <t>Pm . Snr  m . Ccm</t>
  </si>
  <si>
    <t>Cp1 nr (r)=</t>
  </si>
  <si>
    <t>Pr . Snr  r . Ccr</t>
  </si>
  <si>
    <t>km (r)</t>
  </si>
  <si>
    <t>Determinación de costo Conceptos no Remunerativos</t>
  </si>
  <si>
    <t>Cp3 nr =</t>
  </si>
  <si>
    <t>0,43 . (Cp1 nr r + Cp1 nr m)</t>
  </si>
  <si>
    <t>CP = Cp1 + Cp1 nr + Cp2 + Cp3 + Cp3 nr + Cp4 + Cp5 + Cp6 + Cp7 =</t>
  </si>
  <si>
    <t>ERSEP</t>
  </si>
  <si>
    <t>ver valor</t>
  </si>
  <si>
    <t xml:space="preserve">Costo Medio Presupuestado </t>
  </si>
  <si>
    <t>Horas de personal de Taller y Administración</t>
  </si>
  <si>
    <t>Verificar con datos reales</t>
  </si>
  <si>
    <t>Convenio</t>
  </si>
  <si>
    <t>¿Porqué antigüedad de 10 años? Verificar</t>
  </si>
  <si>
    <t>¿Cómo se calcula?</t>
  </si>
  <si>
    <t>Verificar</t>
  </si>
  <si>
    <t>¿Qué son las horas pagas no trabajadas? ¿Cómo se calcula?</t>
  </si>
  <si>
    <t>Verificar los datos de horas, remunerativo y no remunerativo en convenio y 931 de todas las empresas</t>
  </si>
  <si>
    <t>¿Por qué el 43% si solamente el 30% corresponde a este tipo de personal?</t>
  </si>
  <si>
    <t>No debería contemplar horas extra</t>
  </si>
  <si>
    <t>¿Por qué se consideran las horas extra?</t>
  </si>
  <si>
    <t>Verificar que del total de los seguros, el 75% corresponde al de conducción. Sino abrirlo por tipo de seguro</t>
  </si>
  <si>
    <t>¿Cómo se estima? Recalcular. Solamente se calcula para el personal de conducción</t>
  </si>
  <si>
    <t>Convenio, contrato, verificar datos y utilizar parámetro de máxima.</t>
  </si>
  <si>
    <t>Gas Oil subsidiado</t>
  </si>
  <si>
    <t>¿Llevan 2,5 conductores? Verificar porcentajes</t>
  </si>
  <si>
    <t>¿Llevan 3 conductores? Verificar porcentajes</t>
  </si>
  <si>
    <t>Consumo por km. Verificar</t>
  </si>
  <si>
    <t>Ver manuales, verificar la formula, toma solamente el consumo de vehiculos chicos</t>
  </si>
  <si>
    <t>Verificar valores, tomar precio que se corresponda con el litro</t>
  </si>
  <si>
    <t>consumo de lubricantes en litros para vehículos chicos cada 1 km</t>
  </si>
  <si>
    <t>consumo de lubricantes en litros para vehículos medianos y grandes cada 1 km</t>
  </si>
  <si>
    <t>Verificar cubiertas, ¿son reales los tipos de cubiertas por cada tipo de coche?</t>
  </si>
  <si>
    <t>Verificar si se limpian cada 3000 km. En general es por tiempo (una vez a la semana) verificar km por esa unidad de tiempo.</t>
  </si>
  <si>
    <t>¿Se debe considerar la reparación? ¿no se encontraría implicita al considerar los neumáticos recapados? Verificar el 0,10 del valor de reparación sobre uno nuevo. ¿Los empleados de taller no llevan esa función?</t>
  </si>
  <si>
    <t>Verificar, la amortización es a valor historico</t>
  </si>
  <si>
    <t>9,5% real (ya que se considera la inflación en cada aumento, es una tasa muy alta)</t>
  </si>
  <si>
    <t>Verificar, debería considerarse para ver el valor de los coches</t>
  </si>
  <si>
    <t>Considerado en costo de taller, costo de reparación de cubierta. Considera el 100% de las amortizaciones, ya considerada como amortización, repite el valor.</t>
  </si>
  <si>
    <t>¿Por qué considera la antigüedad de la flota?</t>
  </si>
  <si>
    <t>Debería de ser el 2% también, como se consideró la depreciación.</t>
  </si>
  <si>
    <t>Verificar el 3%</t>
  </si>
  <si>
    <t>Ya se encuentra el beneficio en el interés del capital invertido</t>
  </si>
  <si>
    <t>Pm . Hn . SHm  . Ccm</t>
  </si>
  <si>
    <t xml:space="preserve">Vacaciones </t>
  </si>
  <si>
    <t>Feriados</t>
  </si>
  <si>
    <t>Enfermedad y otros</t>
  </si>
  <si>
    <t>Total</t>
  </si>
  <si>
    <t>Horas mensuales no trabajadas</t>
  </si>
  <si>
    <t>Horas mensuales pagas</t>
  </si>
  <si>
    <t>horas pagas y no trabajadas</t>
  </si>
  <si>
    <t>Toma y deja de servicios</t>
  </si>
  <si>
    <t>Pr . Hn . SHr . Ccr</t>
  </si>
  <si>
    <t>Debemos calcular cuantos de los rurales (mayor a 60 km) superan los 250 Km para poder hacer correctamente el cálculo</t>
  </si>
  <si>
    <t>de donde sale el 1940 del sueldo no remunerativo</t>
  </si>
  <si>
    <t>empresas con viajes de menos de 60km</t>
  </si>
  <si>
    <t>empresas con más de 60 km</t>
  </si>
  <si>
    <t>de donde sale el 2336 del sueldo no remunerativo</t>
  </si>
  <si>
    <t>No se encuentra en el decreto</t>
  </si>
  <si>
    <t>Distinto al decreto</t>
  </si>
  <si>
    <t>¿Convenio? ¿Cómo se verifica?</t>
  </si>
  <si>
    <t>0,30 . Cp1  (sin toma y deje de servicio)</t>
  </si>
  <si>
    <t>En el decreto</t>
  </si>
  <si>
    <t>Cambie la formula, no acumula toma y deje de servicio y horas pagas no trabajadas</t>
  </si>
  <si>
    <t>El decreto fijo 7, nos conviene el valor 8 porque da una tarifa más baja</t>
  </si>
  <si>
    <t>Beneficio del empresario</t>
  </si>
  <si>
    <t>Consumo de neumático por kilómetro (10 neumáticos nuevos + 3,6 recapados) sobre 84000 km 3 ejes</t>
  </si>
  <si>
    <t>Consideré 6 neumáticos</t>
  </si>
  <si>
    <t>Consideré 10 neumáticos</t>
  </si>
  <si>
    <t>Considerado en amortización.</t>
  </si>
  <si>
    <t>ENE-17</t>
  </si>
  <si>
    <t>FETAP</t>
  </si>
  <si>
    <t>No Incluido</t>
  </si>
  <si>
    <t>OK</t>
  </si>
  <si>
    <t>Calculo de Fetap da 0,4982</t>
  </si>
  <si>
    <t>VER</t>
  </si>
  <si>
    <t>ok</t>
  </si>
  <si>
    <t>A1</t>
  </si>
  <si>
    <t>D5</t>
  </si>
  <si>
    <t>D6</t>
  </si>
  <si>
    <t>Cant</t>
  </si>
  <si>
    <t>Concepto</t>
  </si>
  <si>
    <t>con IL 1,22</t>
  </si>
  <si>
    <t>IL 1,23</t>
  </si>
  <si>
    <t>IL 1,22</t>
  </si>
  <si>
    <t>FETAP-ASETAC   Propuesta 18% Salarios</t>
  </si>
  <si>
    <t>FETAP-ASETAC   Propuesta Inicial (1)</t>
  </si>
  <si>
    <t>Factura</t>
  </si>
  <si>
    <t>0020-00301539</t>
  </si>
  <si>
    <t>Fecha</t>
  </si>
  <si>
    <t>Pcio. Unit.</t>
  </si>
  <si>
    <t>Descripcion</t>
  </si>
  <si>
    <t>DIESEL B10 500</t>
  </si>
  <si>
    <t>0003-00000176</t>
  </si>
  <si>
    <t>Gas oil grado 2</t>
  </si>
  <si>
    <t>0020-00354975</t>
  </si>
  <si>
    <t>6000-00325058</t>
  </si>
  <si>
    <t>Aceite Tambor 205L</t>
  </si>
  <si>
    <t>0006-00100050</t>
  </si>
  <si>
    <t>Tambor 205L</t>
  </si>
  <si>
    <t>0006-00083295</t>
  </si>
  <si>
    <t>COATA</t>
  </si>
  <si>
    <t>EMPRESA SARMIENTO</t>
  </si>
  <si>
    <t>2017-00998214</t>
  </si>
  <si>
    <t>Variacion</t>
  </si>
  <si>
    <t>2017-00012978</t>
  </si>
  <si>
    <t>0002-00006344</t>
  </si>
  <si>
    <t>0003-00055630</t>
  </si>
  <si>
    <t>2020-00249945</t>
  </si>
  <si>
    <t>SIERRAS DE CALAMUCHITA</t>
  </si>
  <si>
    <t>2017-00999018</t>
  </si>
  <si>
    <t>0004-00006352</t>
  </si>
  <si>
    <t>2017-01187073</t>
  </si>
  <si>
    <t>0021-00002633</t>
  </si>
  <si>
    <t>diesel</t>
  </si>
  <si>
    <t>0006-00083462</t>
  </si>
  <si>
    <t>Nuematicos</t>
  </si>
  <si>
    <t>0004-00003237</t>
  </si>
  <si>
    <t>0004-00001415</t>
  </si>
  <si>
    <t>nueva</t>
  </si>
  <si>
    <t>reca</t>
  </si>
  <si>
    <t>protec</t>
  </si>
  <si>
    <t>Intercordoba</t>
  </si>
  <si>
    <t>Prom. S/IVA</t>
  </si>
  <si>
    <t>SP y UP</t>
  </si>
  <si>
    <t>IP</t>
  </si>
  <si>
    <t>IVA</t>
  </si>
  <si>
    <t>Cant.</t>
  </si>
  <si>
    <t>2017-001190518</t>
  </si>
  <si>
    <t>ultradisel</t>
  </si>
  <si>
    <t>0006-00100338</t>
  </si>
  <si>
    <t>INTERCORDOBA</t>
  </si>
  <si>
    <t>0019-00060583</t>
  </si>
  <si>
    <t>0003-00000466</t>
  </si>
  <si>
    <t>gas oil grado2</t>
  </si>
  <si>
    <t>0006-00083319</t>
  </si>
  <si>
    <t>0006-00100396</t>
  </si>
  <si>
    <t>Subsidio</t>
  </si>
  <si>
    <t>0004-0000811</t>
  </si>
  <si>
    <t>295/275</t>
  </si>
  <si>
    <t>0004-0001722</t>
  </si>
  <si>
    <t>0008-00001078</t>
  </si>
  <si>
    <t>0008-00001079</t>
  </si>
  <si>
    <t>0006-00094990</t>
  </si>
  <si>
    <t>0006-00101847</t>
  </si>
  <si>
    <t>Compra Vehiculos</t>
  </si>
  <si>
    <t>0007-00006706</t>
  </si>
  <si>
    <t>Vehiculo Mercedez Benz</t>
  </si>
  <si>
    <t>Carroceria</t>
  </si>
  <si>
    <t>0003-00000659</t>
  </si>
  <si>
    <t>0007-00006707</t>
  </si>
  <si>
    <t>0003-00000663</t>
  </si>
  <si>
    <t>0019-00004991</t>
  </si>
  <si>
    <t>0003-00016438</t>
  </si>
  <si>
    <t>0019-00004992</t>
  </si>
  <si>
    <t>0005-00000712</t>
  </si>
  <si>
    <t>0007-00006499</t>
  </si>
  <si>
    <t>0019-00004990</t>
  </si>
  <si>
    <t>0003-00000703</t>
  </si>
  <si>
    <t>0019-00006497</t>
  </si>
  <si>
    <t>Grande</t>
  </si>
  <si>
    <t>Mediano</t>
  </si>
  <si>
    <t>chico</t>
  </si>
  <si>
    <t>mediano</t>
  </si>
  <si>
    <t>0106-00003926</t>
  </si>
  <si>
    <t>0003-00000644</t>
  </si>
  <si>
    <t>Planilla</t>
  </si>
  <si>
    <t>x</t>
  </si>
  <si>
    <t>c</t>
  </si>
  <si>
    <t>TBK con IVA</t>
  </si>
  <si>
    <t>TBK SIN IVA</t>
  </si>
  <si>
    <t>Acual</t>
  </si>
  <si>
    <t>Incrementada</t>
  </si>
  <si>
    <t>Porcentaje del valor residual de un vehículo de empresa rural  (0,2 de Vpr)</t>
  </si>
  <si>
    <t>TOTAL UNIDADES</t>
  </si>
  <si>
    <t>U.P.</t>
  </si>
  <si>
    <t>S.P.</t>
  </si>
  <si>
    <t>I.P.</t>
  </si>
  <si>
    <t xml:space="preserve">Flota Total Pcia de Cordoba - Cantidad de Vehiculos/unidades (UP-SP-IP) </t>
  </si>
  <si>
    <t xml:space="preserve">Flota Metropolitanos Pcia de Cordoba - Cantidad de Vehiculos/unidades (UP) </t>
  </si>
  <si>
    <t xml:space="preserve">Flota Rurales Pcia de Cordoba - Cantidad de Vehiculos/unidades (SP-IP) </t>
  </si>
  <si>
    <t>Ut</t>
  </si>
  <si>
    <t>Um</t>
  </si>
  <si>
    <t>Ur</t>
  </si>
  <si>
    <t>Recorrido Mensual Metropolitanas</t>
  </si>
  <si>
    <t>Recorrido Mensual Rurales</t>
  </si>
  <si>
    <t>KmsM</t>
  </si>
  <si>
    <t>KmsR</t>
  </si>
  <si>
    <t>Pm . (0,7 / ccvc + 0,3 / ccvm) . Gm =</t>
  </si>
  <si>
    <t>Clt 1= consumo de lubricante de trasmisión vehículos chicos</t>
  </si>
  <si>
    <t>Clt 2= consumo de lubricante de transmisión vehículos medianos y grandes</t>
  </si>
  <si>
    <t>Cld 1= consumo de lubricante de dirección vehículos chicos</t>
  </si>
  <si>
    <t xml:space="preserve">Cld 2= consumo </t>
  </si>
  <si>
    <t>Clm 1= Clvc</t>
  </si>
  <si>
    <t>Clm 2= Clvmg</t>
  </si>
  <si>
    <t>´=+(0,2*10,69)+(0,8*7,53)</t>
  </si>
  <si>
    <t>No Subsidio</t>
  </si>
  <si>
    <t>No Subsidiado</t>
  </si>
  <si>
    <t>Cub. Nva.</t>
  </si>
  <si>
    <t>Recap.</t>
  </si>
  <si>
    <t>Cam./prot.</t>
  </si>
  <si>
    <r>
      <t>kilometraje medio</t>
    </r>
    <r>
      <rPr>
        <b/>
        <sz val="10"/>
        <rFont val="Arial"/>
        <family val="2"/>
      </rPr>
      <t xml:space="preserve"> anual</t>
    </r>
    <r>
      <rPr>
        <sz val="10"/>
        <rFont val="Arial"/>
        <family val="2"/>
      </rPr>
      <t xml:space="preserve"> recorrido por vehículo en empresa metropolitana</t>
    </r>
  </si>
  <si>
    <r>
      <t xml:space="preserve">kilometraje medio </t>
    </r>
    <r>
      <rPr>
        <b/>
        <sz val="10"/>
        <rFont val="Arial"/>
        <family val="2"/>
      </rPr>
      <t xml:space="preserve">anual </t>
    </r>
    <r>
      <rPr>
        <sz val="10"/>
        <rFont val="Arial"/>
        <family val="2"/>
      </rPr>
      <t>recorrido por vehículo en empresa rural</t>
    </r>
  </si>
  <si>
    <t>Vehículo chico</t>
  </si>
  <si>
    <t>Vehículo mediano</t>
  </si>
  <si>
    <t>Vehículo grande</t>
  </si>
  <si>
    <t>Compra Vehículos</t>
  </si>
  <si>
    <t>Unidades</t>
  </si>
  <si>
    <t>Seguros</t>
  </si>
  <si>
    <t>Poliza</t>
  </si>
  <si>
    <t>25/018688/000</t>
  </si>
  <si>
    <t>Cedulón</t>
  </si>
  <si>
    <t>pqg435</t>
  </si>
  <si>
    <t>plw435</t>
  </si>
  <si>
    <t>map499</t>
  </si>
  <si>
    <t>muni</t>
  </si>
  <si>
    <t>rentas</t>
  </si>
  <si>
    <t>mqh947</t>
  </si>
  <si>
    <t>gnb949</t>
  </si>
  <si>
    <t>lvd272</t>
  </si>
  <si>
    <t>opg861</t>
  </si>
  <si>
    <t>oyk749</t>
  </si>
  <si>
    <t>har375</t>
  </si>
  <si>
    <t>jut059</t>
  </si>
  <si>
    <t>fdg181</t>
  </si>
  <si>
    <t>ggc594</t>
  </si>
  <si>
    <t xml:space="preserve">Taa . (Pm . ((0,15 . 41) + (0,45 . 45)+ (0,40 . 50))) </t>
  </si>
  <si>
    <t>Diferencia         (1)-(2)</t>
  </si>
  <si>
    <t>TBK Vigente con IVA (3)</t>
  </si>
  <si>
    <t>TBK Vigente sin IVA (4)</t>
  </si>
  <si>
    <t>Variacion entre              (2) y (4)</t>
  </si>
  <si>
    <t>FETAP -ASETAC</t>
  </si>
  <si>
    <t>Calendario anual</t>
  </si>
  <si>
    <t>Año</t>
  </si>
  <si>
    <t>Mes</t>
  </si>
  <si>
    <t>Día inicial</t>
  </si>
  <si>
    <t>1: Domingo, 2: Lunes</t>
  </si>
  <si>
    <t>[42]</t>
  </si>
  <si>
    <t>M</t>
  </si>
  <si>
    <t>X</t>
  </si>
  <si>
    <t>J</t>
  </si>
  <si>
    <t>V</t>
  </si>
  <si>
    <t>S</t>
  </si>
  <si>
    <t/>
  </si>
  <si>
    <t>Calculado</t>
  </si>
  <si>
    <t>Recorrido Total Mensual (RTM)</t>
  </si>
  <si>
    <t>UP</t>
  </si>
  <si>
    <t>SP</t>
  </si>
  <si>
    <t>Para 12 meses</t>
  </si>
  <si>
    <t>Para 10 meses</t>
  </si>
  <si>
    <t>KILOMETROS MENSUALES POR UNIDAD</t>
  </si>
  <si>
    <t>U.P + S.P.</t>
  </si>
  <si>
    <t>Kilometros</t>
  </si>
  <si>
    <t>Kms por Unidad</t>
  </si>
  <si>
    <t>Kilometraje medio anual recorrido por vehículo metropolitana</t>
  </si>
  <si>
    <t>KILOMETROS</t>
  </si>
  <si>
    <t>Cantidad de Kilometros</t>
  </si>
  <si>
    <t>TOTAL KILOMETROS MENSUALES</t>
  </si>
  <si>
    <t xml:space="preserve">U.P </t>
  </si>
  <si>
    <t>S.P. + I.P.</t>
  </si>
  <si>
    <t>PARQUE MOVIL</t>
  </si>
  <si>
    <t>TOTAL FLOTA</t>
  </si>
  <si>
    <t>FLOTA EN SERV</t>
  </si>
  <si>
    <t>EXPRESO DIFERENCIAL CORDOBA-RIO CUARTO</t>
  </si>
  <si>
    <t>EMPRENDIMIENTOS</t>
  </si>
  <si>
    <t>ASETAC</t>
  </si>
  <si>
    <t>Comprob.</t>
  </si>
  <si>
    <t>xxx</t>
  </si>
  <si>
    <t>ART</t>
  </si>
  <si>
    <t>CP = Cp1 + Cp2 + Cp3 + Cp4 + Cp5 + Cp6 + Cp7 =</t>
  </si>
  <si>
    <t xml:space="preserve">   CALCULO TARIFARIO DE OCTUBRE 2017</t>
  </si>
  <si>
    <t>ERSEP                           (2)</t>
  </si>
  <si>
    <t xml:space="preserve"> ENERO 2017 MESA 1</t>
  </si>
  <si>
    <t>Cantidad de horas netas abonadas por mes a los conductores</t>
  </si>
  <si>
    <t>Monto anual de la prima para personal de conducción</t>
  </si>
  <si>
    <t>Costo de los uniformes según convenio. Por temporada: 1 campera + 2 camisa + 1 pantalón + 2 corbata</t>
  </si>
  <si>
    <t>Comsumo de combustibe de Vch x litro</t>
  </si>
  <si>
    <t>Comsumo de combustibe de Vm x litro</t>
  </si>
  <si>
    <t>Comsumo de combustibe de Vg x litro</t>
  </si>
  <si>
    <t>Consumo de lubricantes para vehículos chicos cada 10000km</t>
  </si>
  <si>
    <t>Un. de valuación (medidas 275/80 r22,5) + 0,6 (1 cub. recap. )</t>
  </si>
  <si>
    <t>Precio de aceite para motor: como unidad de evaluación se toma el tambor de 205 litros</t>
  </si>
  <si>
    <t>Consumo de neumático por kilómetro (6 neumáticos nuevos + 3,6 recapados) sobre 84000 km</t>
  </si>
  <si>
    <t>Coeficiente luego de deducir valor residual (20%)</t>
  </si>
  <si>
    <t>Tasa anual de amortización</t>
  </si>
  <si>
    <t>Tasa anual sobre el capital invertido</t>
  </si>
  <si>
    <t>Monto de la prima mensual en pesos</t>
  </si>
  <si>
    <t>Costo de lavado y engrase</t>
  </si>
  <si>
    <t>Vida útil de la unidad</t>
  </si>
  <si>
    <t>Porcentaje de impuestos correspondientes a ingresos brutos (3,5%) x porcentaj. Ingresos</t>
  </si>
  <si>
    <t>Kilometraje mensual medio recorrido por coche empresas metropolitanas</t>
  </si>
  <si>
    <t>Cantidad de conductores por unidad para empresa metropolitana</t>
  </si>
  <si>
    <t>Sueldo básico del convenio del personal de conducción empresa metropolitanas</t>
  </si>
  <si>
    <t>Kilometraje medio anual recorrido por vehículo rural</t>
  </si>
  <si>
    <t>Porcentaje del valor residual de un vehículo de empresa metropolitana</t>
  </si>
  <si>
    <t>Cantidad de horas extras abonadas por mes a condutores por vehículo</t>
  </si>
  <si>
    <t>Coeficiente de horas extras</t>
  </si>
  <si>
    <t>Cantidad de conductores por unidad para empresa rural</t>
  </si>
  <si>
    <t>Coeficiente de incidencia de tome y deje de servicio</t>
  </si>
  <si>
    <t>Kilometraje mensual medio recorrido por empresa rural</t>
  </si>
  <si>
    <t>Cantidad de horas extras abonadas por mes a los conductores por vehículos rurales</t>
  </si>
  <si>
    <t>Sueldo básico del convenio del personal de conducción empresas rurales</t>
  </si>
  <si>
    <t>Consumo de lubricantes para vehículos medianos y grandes cada 1000 km.</t>
  </si>
  <si>
    <t>Valor de una unidad nueva chica</t>
  </si>
  <si>
    <t>Valor de una unidad nueva mediana</t>
  </si>
  <si>
    <t>Valor de una unidad nueva grande</t>
  </si>
  <si>
    <t>Monto de la tasa por asiento anual</t>
  </si>
  <si>
    <t>Recaudación Bruta Mensual Promedio</t>
  </si>
  <si>
    <t xml:space="preserve">Tarifa Básica Kilométrica vigente </t>
  </si>
  <si>
    <t>FACTURA</t>
  </si>
  <si>
    <t>FETAP - ASETAC</t>
  </si>
  <si>
    <t>SECR. TRANSP.</t>
  </si>
  <si>
    <t>Cond</t>
  </si>
  <si>
    <t>Fijo</t>
  </si>
  <si>
    <t>Precio de Gas Oil considerado para las empresas metropolitanas (0,20 x 27,87) +  (0,80 x 6,82)</t>
  </si>
  <si>
    <t>Precio de Gas Oil considerado para las empresas rurales(0,20 x 27,87) +  (0,80 x 6,82)</t>
  </si>
  <si>
    <t>Para el período de costos 4 Meses</t>
  </si>
  <si>
    <t>Var. % FETAP y ERSEP</t>
  </si>
  <si>
    <t>(Dif. En el Km (m y r)</t>
  </si>
  <si>
    <t>Sueldo básico de conv. conductor guarda único  c/ 10 años de antigüedad (38485x 1,1) / 192 hs.</t>
  </si>
  <si>
    <t>Sueldo básico conductor guarda rural con 10 años de antigüedad (31374 x 1,1) / 192 hs.</t>
  </si>
  <si>
    <t>cant. feriados entre may - oct 2019</t>
  </si>
  <si>
    <t>Control</t>
  </si>
  <si>
    <t>% INCIDENCIA</t>
  </si>
  <si>
    <t>Cuadro 1</t>
  </si>
  <si>
    <t>Mensuales</t>
  </si>
  <si>
    <t>Anual</t>
  </si>
  <si>
    <t xml:space="preserve">Kms </t>
  </si>
  <si>
    <t>Tipo</t>
  </si>
  <si>
    <t>Recorrido TOTAL</t>
  </si>
  <si>
    <t>Regular</t>
  </si>
  <si>
    <t>Reg Diferencial</t>
  </si>
  <si>
    <t>Participaciones</t>
  </si>
  <si>
    <t>Metropol.</t>
  </si>
  <si>
    <t>Rural</t>
  </si>
  <si>
    <t>Kms/Vehículo</t>
  </si>
  <si>
    <t>Kms/Vehiculo</t>
  </si>
  <si>
    <t>Kilometraje mensual medio recorrido Total</t>
  </si>
  <si>
    <t>Fuente: Secretaria de Transporte de la Pcia. de Cordoba</t>
  </si>
  <si>
    <t>INFO TRANSPORTE</t>
  </si>
  <si>
    <t>FECHA</t>
  </si>
  <si>
    <t xml:space="preserve">MESA </t>
  </si>
  <si>
    <t>PERIODO</t>
  </si>
  <si>
    <t xml:space="preserve">RBM </t>
  </si>
  <si>
    <t>CRITERIO</t>
  </si>
  <si>
    <t>RECAUDACION</t>
  </si>
  <si>
    <t>SUBSIDIOS</t>
  </si>
  <si>
    <t>UNIDADES</t>
  </si>
  <si>
    <t>MESA 3</t>
  </si>
  <si>
    <t>10/17 - 08/18</t>
  </si>
  <si>
    <t>Se tomo la RBM de la Mesa 2 mas el 24,64%</t>
  </si>
  <si>
    <t>PROMEDIO DEL PERIODO DE COSTEO</t>
  </si>
  <si>
    <t>INFORMADO MENOS EL 10% DE UNIDADES NO OPERATIVAS</t>
  </si>
  <si>
    <t xml:space="preserve">MESA 4 </t>
  </si>
  <si>
    <t>09/18 - 12/18</t>
  </si>
  <si>
    <t>Se tomo la RBM de la Mesa 3 mas el 30,66% (ESCALONADO)</t>
  </si>
  <si>
    <t>INFORMADO MENOS EL 10% MENOS EL 15% POR REDUCCION DE KILOMETROS</t>
  </si>
  <si>
    <t>MESA 5</t>
  </si>
  <si>
    <t>01/19 - 03/19</t>
  </si>
  <si>
    <t>INFORMADO MENOS EL 10% MENOS EL 10% POR REDUCCION DE KILOMETROS</t>
  </si>
  <si>
    <t>MESA 6</t>
  </si>
  <si>
    <t>04/19 - 11/19</t>
  </si>
  <si>
    <t>ULTIMO VALOR DE PERIODO DE COSTEO</t>
  </si>
  <si>
    <t>ULTIMO VALOR INFORMADO</t>
  </si>
  <si>
    <t>Sueldo noviembre 19</t>
  </si>
  <si>
    <t>Sueldo marzo 2021</t>
  </si>
  <si>
    <t>Uniformes</t>
  </si>
  <si>
    <t>LAVADO</t>
  </si>
  <si>
    <t>UNIFORMES</t>
  </si>
  <si>
    <t>IMPORTE TOTAL</t>
  </si>
  <si>
    <t>Promedio</t>
  </si>
  <si>
    <t>Rubros</t>
  </si>
  <si>
    <t>PROMEDIOS</t>
  </si>
  <si>
    <t>INTERCORDOBA S.A.</t>
  </si>
  <si>
    <t>Pcio No subsidiado</t>
  </si>
  <si>
    <t>Recapado</t>
  </si>
  <si>
    <t>Lavado</t>
  </si>
  <si>
    <t>Mesa 7</t>
  </si>
  <si>
    <t>MESA 7</t>
  </si>
  <si>
    <t>Cp1 (r.) =</t>
  </si>
  <si>
    <t>Cp2 (m) =</t>
  </si>
  <si>
    <t>Nuevo(295/80)</t>
  </si>
  <si>
    <t>Nuevo(215,275)</t>
  </si>
  <si>
    <t>Seguro Responsabilidad Civil (Mensual)</t>
  </si>
  <si>
    <t>Patentes (Anual)</t>
  </si>
  <si>
    <t>ART (Mensual)</t>
  </si>
  <si>
    <t>De vehiculos (Mensual)</t>
  </si>
  <si>
    <t xml:space="preserve">Seguros </t>
  </si>
  <si>
    <t>IPIM vehículos</t>
  </si>
  <si>
    <t>Var %</t>
  </si>
  <si>
    <t>Variación de precio de unidades</t>
  </si>
  <si>
    <t>RTM/Unid</t>
  </si>
  <si>
    <t>Var%</t>
  </si>
  <si>
    <t>marzo</t>
  </si>
  <si>
    <t>10/19 - 04/21</t>
  </si>
  <si>
    <t>Mesa 8</t>
  </si>
  <si>
    <t>camisa</t>
  </si>
  <si>
    <t>campera</t>
  </si>
  <si>
    <t>corbata</t>
  </si>
  <si>
    <t>PRIMA MENSUAL FLOTA</t>
  </si>
  <si>
    <t>SARMIENTO</t>
  </si>
  <si>
    <t>SIERRAS</t>
  </si>
  <si>
    <t>PROMEDIO TOTAL</t>
  </si>
  <si>
    <t>LEP</t>
  </si>
  <si>
    <t>LRT según 931</t>
  </si>
  <si>
    <t>Empleados s/931</t>
  </si>
  <si>
    <t>Monto Mensual ART por empleado</t>
  </si>
  <si>
    <t>PROMEDIO MENSUAL</t>
  </si>
  <si>
    <t>PROMEDIO ANUAL</t>
  </si>
  <si>
    <t>Sueldo marzo 2022</t>
  </si>
  <si>
    <t>MESA 8</t>
  </si>
  <si>
    <t xml:space="preserve"> 04/21 - 04/22</t>
  </si>
  <si>
    <t>MONTO ANUAL DE PATENTE PONDERADO SEGÚN COMPOSICION DE LA FLOTA</t>
  </si>
  <si>
    <t>AÑO</t>
  </si>
  <si>
    <t>PROVINCIAL</t>
  </si>
  <si>
    <t>MUNICIPAL</t>
  </si>
  <si>
    <t>Prom por cuota</t>
  </si>
  <si>
    <t>IMPORTE ANUAL</t>
  </si>
  <si>
    <t>FONOBUS</t>
  </si>
  <si>
    <t>PROMEDIO ANUAL TOTAL</t>
  </si>
  <si>
    <t>enero</t>
  </si>
  <si>
    <t>COCHES</t>
  </si>
  <si>
    <t>EMPRESA</t>
  </si>
  <si>
    <t>COATA S.A.</t>
  </si>
  <si>
    <t>SARMIENTO S.R.L.</t>
  </si>
  <si>
    <t>EMPRENDIMIENTOS S.R.L.</t>
  </si>
  <si>
    <t>ACEITE</t>
  </si>
  <si>
    <t>IMPORTE NETO FACTURADO</t>
  </si>
  <si>
    <t>SEGUROS</t>
  </si>
  <si>
    <t>COSTO TOTAL</t>
  </si>
  <si>
    <t>LITROS</t>
  </si>
  <si>
    <t>LRT</t>
  </si>
  <si>
    <t>COSTO POR LITRO</t>
  </si>
  <si>
    <t>Valor promedio</t>
  </si>
  <si>
    <t>UNIDAD PEQUEÑA</t>
  </si>
  <si>
    <t>CARROCERIA</t>
  </si>
  <si>
    <t>CHASIS</t>
  </si>
  <si>
    <t>UNIDAD MEDIANA</t>
  </si>
  <si>
    <t>COTIZACIÓN DÓLAR</t>
  </si>
  <si>
    <t>UNIDAD GRANDE</t>
  </si>
  <si>
    <t>UNIDAD COMPLETA</t>
  </si>
  <si>
    <t>FACTURAS ERSEP</t>
  </si>
  <si>
    <t>Mesa 9</t>
  </si>
  <si>
    <t>Uniforme</t>
  </si>
  <si>
    <t xml:space="preserve">pantalon </t>
  </si>
  <si>
    <t>2 corbata + 2 camisa + 1 pantalon + 1 campera x 2</t>
  </si>
  <si>
    <t>Recapado 275</t>
  </si>
  <si>
    <t>km recorrido</t>
  </si>
  <si>
    <t>menos 4500</t>
  </si>
  <si>
    <t>mas 4500</t>
  </si>
  <si>
    <t>DIFERENCIA</t>
  </si>
  <si>
    <t>ESTIMACION 14%</t>
  </si>
  <si>
    <t>MESA 9</t>
  </si>
  <si>
    <t xml:space="preserve">SUELDOS </t>
  </si>
  <si>
    <t>1)</t>
  </si>
  <si>
    <t>2)</t>
  </si>
  <si>
    <t>3)</t>
  </si>
  <si>
    <t>4)</t>
  </si>
  <si>
    <t>5)</t>
  </si>
  <si>
    <t>6)</t>
  </si>
  <si>
    <t>7)</t>
  </si>
  <si>
    <t>8)</t>
  </si>
  <si>
    <t>9)</t>
  </si>
  <si>
    <t>10)</t>
  </si>
  <si>
    <t>Mesa 10</t>
  </si>
  <si>
    <t>Sueldo básico  del convenio de conducción empresa rural</t>
  </si>
  <si>
    <t>Sueldo básico  del convenio de conducción empresa metropolitana</t>
  </si>
  <si>
    <t>Marzo</t>
  </si>
  <si>
    <t>IMPORTE</t>
  </si>
  <si>
    <t xml:space="preserve">BUSES LEP </t>
  </si>
  <si>
    <t>fecha</t>
  </si>
  <si>
    <t xml:space="preserve">Importe </t>
  </si>
  <si>
    <t xml:space="preserve">FECHA </t>
  </si>
  <si>
    <t xml:space="preserve">FACTURA </t>
  </si>
  <si>
    <t>Neumáticos 275</t>
  </si>
  <si>
    <t>Neumáticos 295</t>
  </si>
  <si>
    <t>Recapado 295</t>
  </si>
  <si>
    <t>BUSES LEP</t>
  </si>
  <si>
    <t xml:space="preserve">Valor promedio </t>
  </si>
  <si>
    <t>COMBUSTIBLE</t>
  </si>
  <si>
    <t>IMPORTE MENSUAL</t>
  </si>
  <si>
    <t xml:space="preserve">VEHICULOS </t>
  </si>
  <si>
    <t>RENTAS</t>
  </si>
  <si>
    <t>Información Sistema Interurbano de Transporte</t>
  </si>
  <si>
    <t>Periodo: Marzo 2023</t>
  </si>
  <si>
    <t>UNIDADES TOTALES CNRT</t>
  </si>
  <si>
    <t>UNIDADES ACTIVAS CNRT</t>
  </si>
  <si>
    <t>UNIDADES TOTALES Habilitadas</t>
  </si>
  <si>
    <t>UNIDADES ACTIVAS Habilitadas</t>
  </si>
  <si>
    <t>UNIDADES EN CALLE</t>
  </si>
  <si>
    <t>UNIDADES CON MAS DE 4,500 KM</t>
  </si>
  <si>
    <t xml:space="preserve">KM MENSUALES </t>
  </si>
  <si>
    <t xml:space="preserve">PAX MENSUALES </t>
  </si>
  <si>
    <t xml:space="preserve">RECAUDACION </t>
  </si>
  <si>
    <t>SUBSIDIO NACIONAL</t>
  </si>
  <si>
    <t>SUBSIDIO PROVINCIAL</t>
  </si>
  <si>
    <t>PERSONAL</t>
  </si>
  <si>
    <t>ver</t>
  </si>
  <si>
    <t>MESA 10</t>
  </si>
  <si>
    <t xml:space="preserve"> 04/22 - 08/22</t>
  </si>
  <si>
    <t xml:space="preserve"> 08/22 - 04/23</t>
  </si>
  <si>
    <t xml:space="preserve"> - MAS DE 60 KM</t>
  </si>
  <si>
    <t xml:space="preserve"> - MENOS DE 60 KM</t>
  </si>
  <si>
    <t>Coeficiente de incidencia de hs. pagas no trabajadas ( Vacaciones= 23 / Enfermedad= 14 / Feriados 2023= 16)</t>
  </si>
  <si>
    <t>Sueldo Julio 2023</t>
  </si>
  <si>
    <t xml:space="preserve">  </t>
  </si>
  <si>
    <t>AGOSTO</t>
  </si>
  <si>
    <t>litros</t>
  </si>
  <si>
    <t xml:space="preserve">INCIDENCIA  DIAS NO TRABAJADOS POR AÑO </t>
  </si>
  <si>
    <t>Vacaciones</t>
  </si>
  <si>
    <t>DTO 254/03</t>
  </si>
  <si>
    <t>Ministerio del Interior</t>
  </si>
  <si>
    <t>Enfermedad</t>
  </si>
  <si>
    <t>TOTAL DIAS</t>
  </si>
  <si>
    <t>Promedio mensual de horas pagas no trabajadas</t>
  </si>
  <si>
    <t>Total mensual horas trabajadas</t>
  </si>
  <si>
    <t>8hs/dias*24dias=192 horas</t>
  </si>
  <si>
    <t>IL  = Coeficiente de ajuste incidencia dias no trabajados</t>
  </si>
  <si>
    <t>(192/192*36)</t>
  </si>
  <si>
    <t>Coches Activos</t>
  </si>
  <si>
    <t>KM</t>
  </si>
  <si>
    <t>TOTAL</t>
  </si>
  <si>
    <t>RECORRIERON MAS 4500 KM</t>
  </si>
  <si>
    <t>RECORRIERON MENOS 4500 KM</t>
  </si>
  <si>
    <t>Octubre</t>
  </si>
  <si>
    <t>MESA 11</t>
  </si>
  <si>
    <t>MESA 12</t>
  </si>
  <si>
    <t xml:space="preserve">  04/23 - 08/23</t>
  </si>
  <si>
    <t xml:space="preserve"> 08/23 - 10/23</t>
  </si>
  <si>
    <t>INTERCORDOBA S.A..</t>
  </si>
  <si>
    <t>COSTO PROMEDIO</t>
  </si>
  <si>
    <t>lep</t>
  </si>
  <si>
    <t>Mesa 12</t>
  </si>
  <si>
    <t>Valor Dólar 31/12/23</t>
  </si>
  <si>
    <t>Unidad grande valor Dólar</t>
  </si>
  <si>
    <t>FACTURAS COMPRAS</t>
  </si>
  <si>
    <t>SOCSA</t>
  </si>
  <si>
    <t>8hs/dias*55 dias/12 meses =</t>
  </si>
  <si>
    <t>pm</t>
  </si>
  <si>
    <t>pr</t>
  </si>
  <si>
    <t>UNIDADES TOTALES HABILITADAS</t>
  </si>
  <si>
    <t>UNIDADES TOTALES CNRT OCTUBRE</t>
  </si>
  <si>
    <t>TOTAL COCHES ACTIVOS + 10%</t>
  </si>
  <si>
    <t>COMPUTABLES</t>
  </si>
  <si>
    <t>INGRESOS TOTALES</t>
  </si>
  <si>
    <t>Valor Unidad grande</t>
  </si>
  <si>
    <t>Valor Unidad mediana</t>
  </si>
  <si>
    <t>Valor Unidad chica</t>
  </si>
  <si>
    <t xml:space="preserve">buses lep </t>
  </si>
  <si>
    <t>buses lep</t>
  </si>
  <si>
    <t>ITC (52,5631*LITROS*55%)</t>
  </si>
  <si>
    <t>FEBRERO</t>
  </si>
  <si>
    <t>Abril</t>
  </si>
  <si>
    <t xml:space="preserve">sierras </t>
  </si>
  <si>
    <t>,</t>
  </si>
  <si>
    <t>MONTO TOTAL</t>
  </si>
  <si>
    <t>MORTEROS</t>
  </si>
  <si>
    <t>POR EMPLEADO</t>
  </si>
  <si>
    <t>MARZO</t>
  </si>
  <si>
    <t>EMPLEADOS X COCHE</t>
  </si>
  <si>
    <t>Agosto</t>
  </si>
  <si>
    <t>ICO2 (10,76*litro)</t>
  </si>
  <si>
    <t>COOP LA CALERA</t>
  </si>
  <si>
    <t>Sueldo Agosto 2024</t>
  </si>
  <si>
    <t>Incremento Septiembre 21,5%</t>
  </si>
  <si>
    <t xml:space="preserve">Incremento Octubre 27% </t>
  </si>
  <si>
    <t xml:space="preserve">Incremento Noviembre 32% </t>
  </si>
  <si>
    <t xml:space="preserve">Adicional no remunerativo </t>
  </si>
  <si>
    <t xml:space="preserve">Incremento Diciembre 37% </t>
  </si>
  <si>
    <t>SEPTIEMBRE</t>
  </si>
  <si>
    <t>OCTUBRE</t>
  </si>
  <si>
    <t>NOVIEMBRE</t>
  </si>
  <si>
    <t>DICIEMBRE</t>
  </si>
  <si>
    <t>SAT</t>
  </si>
  <si>
    <t>IPC Enero</t>
  </si>
  <si>
    <t>mesa 12</t>
  </si>
  <si>
    <t>Diciembre 2023</t>
  </si>
  <si>
    <t>BEC</t>
  </si>
  <si>
    <t>Ingresos febrero</t>
  </si>
  <si>
    <t>pasajeros</t>
  </si>
  <si>
    <t>Ixp</t>
  </si>
  <si>
    <t>Ingresos estimados</t>
  </si>
  <si>
    <t>Fuente</t>
  </si>
  <si>
    <t>Dec 254/03</t>
  </si>
  <si>
    <t>Para el período 2024</t>
  </si>
  <si>
    <t>Cantidad</t>
  </si>
  <si>
    <t>Cantidad de conductores por unidad para empresas metropolitanas</t>
  </si>
  <si>
    <t>IPC Noviembre</t>
  </si>
  <si>
    <t>Costos a Diciembre 2024</t>
  </si>
  <si>
    <t>Costos a Diciembre 2023</t>
  </si>
  <si>
    <t>Diciembre 2024</t>
  </si>
  <si>
    <t>pasajeros noviembre</t>
  </si>
  <si>
    <t xml:space="preserve">   CALCULO TARIFARIO A DICIEMBRE 2024</t>
  </si>
  <si>
    <t>Pasajeros diciembre BEC</t>
  </si>
  <si>
    <t>Pasajeros totales diciembre</t>
  </si>
  <si>
    <t>Pasajeros tarifa plena y abonos</t>
  </si>
  <si>
    <t xml:space="preserve">Ingresos pasajeros </t>
  </si>
  <si>
    <t>R.B.M./ R.T.M. * T.B.K.v</t>
  </si>
  <si>
    <t>TRANSPORTE MORTEROS</t>
  </si>
  <si>
    <t>pasajeros diciembre</t>
  </si>
  <si>
    <t>COOP. LA CALERA</t>
  </si>
  <si>
    <t>COCHE MEDIANO</t>
  </si>
  <si>
    <t xml:space="preserve">40 ASIENTOS </t>
  </si>
  <si>
    <t>MODALIDAD REGULAR</t>
  </si>
  <si>
    <t>VALOR $</t>
  </si>
  <si>
    <t>DÓLAR</t>
  </si>
  <si>
    <t>COMPROBANTE</t>
  </si>
  <si>
    <t>Dolares</t>
  </si>
  <si>
    <t>Valor Unidad mediana valor promedio</t>
  </si>
  <si>
    <t>Mesa 13 Dolares</t>
  </si>
  <si>
    <t xml:space="preserve">ESCENARIO  N° 1 </t>
  </si>
  <si>
    <t>pasajeros febrero</t>
  </si>
  <si>
    <t>BEC DICIEMBRE 20%</t>
  </si>
  <si>
    <t>Tarifa por pasajero</t>
  </si>
  <si>
    <t>Pasajeros pagos</t>
  </si>
  <si>
    <t>Recaudación Boletos pagos</t>
  </si>
  <si>
    <t>Recaudación BEC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</si>
</sst>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0">
    <numFmt numFmtId="6" formatCode="&quot;$&quot;\ #,##0;[Red]\-&quot;$&quot;\ #,##0"/>
    <numFmt numFmtId="8" formatCode="&quot;$&quot;\ #,##0.00;[Red]\-&quot;$&quot;\ #,##0.00"/>
    <numFmt numFmtId="44" formatCode="_-&quot;$&quot;\ * #,##0.00_-;\-&quot;$&quot;\ * #,##0.00_-;_-&quot;$&quot;\ * &quot;-&quot;??_-;_-@_-"/>
    <numFmt numFmtId="43" formatCode="_-* #,##0.00_-;\-* #,##0.00_-;_-* &quot;-&quot;??_-;_-@_-"/>
    <numFmt numFmtId="164" formatCode="_-&quot;$&quot;* #,##0.00_-;\-&quot;$&quot;* #,##0.00_-;_-&quot;$&quot;* &quot;-&quot;??_-;_-@_-"/>
    <numFmt numFmtId="165" formatCode="_ &quot;$&quot;\ * #,##0.00_ ;_ &quot;$&quot;\ * \-#,##0.00_ ;_ &quot;$&quot;\ * &quot;-&quot;??_ ;_ @_ "/>
    <numFmt numFmtId="166" formatCode="_ * #,##0.00_ ;_ * \-#,##0.00_ ;_ * &quot;-&quot;??_ ;_ @_ "/>
    <numFmt numFmtId="167" formatCode="_ * #,##0.0000_ ;_ * \-#,##0.0000_ ;_ * &quot;-&quot;??_ ;_ @_ "/>
    <numFmt numFmtId="168" formatCode="_ * #,##0.00000_ ;_ * \-#,##0.00000_ ;_ * &quot;-&quot;??_ ;_ @_ "/>
    <numFmt numFmtId="169" formatCode="0.0000"/>
    <numFmt numFmtId="170" formatCode="_ * #,##0.0000_ ;_ * \-#,##0.0000_ ;_ * &quot;-&quot;????_ ;_ @_ "/>
    <numFmt numFmtId="171" formatCode="0.0%"/>
    <numFmt numFmtId="172" formatCode="0.0000%"/>
    <numFmt numFmtId="173" formatCode="_ * #,##0.000000_ ;_ * \-#,##0.000000_ ;_ * &quot;-&quot;??_ ;_ @_ "/>
    <numFmt numFmtId="174" formatCode="_ * #,##0_ ;_ * \-#,##0_ ;_ * &quot;-&quot;??_ ;_ @_ "/>
    <numFmt numFmtId="175" formatCode="0.000"/>
    <numFmt numFmtId="176" formatCode="000,000.00"/>
    <numFmt numFmtId="177" formatCode="#,##0.0000_ ;\-#,##0.0000\ "/>
    <numFmt numFmtId="178" formatCode="_ [$$-2C0A]\ * #,##0.00_ ;_ [$$-2C0A]\ * \-#,##0.00_ ;_ [$$-2C0A]\ * &quot;-&quot;??_ ;_ @_ "/>
    <numFmt numFmtId="179" formatCode="#,##0.0000_ ;[Red]\-#,##0.0000\ "/>
    <numFmt numFmtId="180" formatCode="_ &quot;$&quot;\ * #,##0.0000_ ;_ &quot;$&quot;\ * \-#,##0.0000_ ;_ &quot;$&quot;\ * &quot;-&quot;??_ ;_ @_ "/>
    <numFmt numFmtId="181" formatCode="[$$-2C0A]\ #,##0.00;[Red]\-[$$-2C0A]\ #,##0.00"/>
    <numFmt numFmtId="182" formatCode="mmmm\ \'yy"/>
    <numFmt numFmtId="183" formatCode="d"/>
    <numFmt numFmtId="184" formatCode="_ * #,##0.00000000_ ;_ * \-#,##0.00000000_ ;_ * &quot;-&quot;??_ ;_ @_ "/>
    <numFmt numFmtId="185" formatCode="0.000%"/>
    <numFmt numFmtId="186" formatCode="_ &quot;$&quot;\ * #,##0_ ;_ &quot;$&quot;\ * \-#,##0_ ;_ &quot;$&quot;\ * &quot;-&quot;????_ ;_ @_ "/>
    <numFmt numFmtId="187" formatCode="_ * #,##0.000_ ;_ * \-#,##0.000_ ;_ * &quot;-&quot;??_ ;_ @_ "/>
    <numFmt numFmtId="188" formatCode="&quot;$&quot;\ #,##0.00"/>
    <numFmt numFmtId="189" formatCode="_ &quot;$&quot;\ * #,##0.0000_ ;_ &quot;$&quot;\ * \-#,##0.0000_ ;_ &quot;$&quot;\ * &quot;-&quot;????_ ;_ @_ "/>
    <numFmt numFmtId="190" formatCode="_-&quot;$&quot;\ * #,##0.000000_-;\-&quot;$&quot;\ * #,##0.000000_-;_-&quot;$&quot;\ * &quot;-&quot;??????_-;_-@_-"/>
    <numFmt numFmtId="191" formatCode="_-[$$-2C0A]\ * #,##0.00_-;\-[$$-2C0A]\ * #,##0.00_-;_-[$$-2C0A]\ * &quot;-&quot;??_-;_-@_-"/>
    <numFmt numFmtId="192" formatCode="_ [$€-2]\ * #,##0.00_ ;_ [$€-2]\ * \-#,##0.00_ ;_ [$€-2]\ * &quot;-&quot;??_ "/>
    <numFmt numFmtId="193" formatCode="_-* #,##0.00\ _€_-;\-* #,##0.00\ _€_-;_-* &quot;-&quot;??\ _€_-;_-@_-"/>
    <numFmt numFmtId="194" formatCode="&quot;$&quot;#,##0.00"/>
    <numFmt numFmtId="195" formatCode="_-&quot;$&quot;\ * #,##0.00_-;\-&quot;$&quot;\ * #,##0.00_-;_-&quot;$&quot;\ * &quot;-&quot;??????_-;_-@_-"/>
    <numFmt numFmtId="196" formatCode="_-* #,##0_-;\-* #,##0_-;_-* &quot;-&quot;??_-;_-@_-"/>
    <numFmt numFmtId="197" formatCode="0.0"/>
    <numFmt numFmtId="198" formatCode="_-* #,##0.0000_-;\-* #,##0.0000_-;_-* &quot;-&quot;????_-;_-@_-"/>
    <numFmt numFmtId="199" formatCode="_ &quot;$&quot;\ * #,##0.000_ ;_ &quot;$&quot;\ * \-#,##0.000_ ;_ &quot;$&quot;\ * &quot;-&quot;??_ ;_ @_ "/>
  </numFmts>
  <fonts count="119" x14ac:knownFonts="1">
    <font>
      <sz val="10"/>
      <name val="Arial"/>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sz val="8"/>
      <name val="Arial"/>
      <family val="2"/>
    </font>
    <font>
      <b/>
      <sz val="10"/>
      <name val="Arial"/>
      <family val="2"/>
    </font>
    <font>
      <sz val="10"/>
      <name val="Arial"/>
      <family val="2"/>
    </font>
    <font>
      <b/>
      <sz val="13"/>
      <name val="Arial"/>
      <family val="2"/>
    </font>
    <font>
      <sz val="13"/>
      <name val="Arial"/>
      <family val="2"/>
    </font>
    <font>
      <sz val="10"/>
      <name val="Arial"/>
      <family val="2"/>
    </font>
    <font>
      <b/>
      <u/>
      <sz val="10"/>
      <name val="Arial"/>
      <family val="2"/>
    </font>
    <font>
      <sz val="10"/>
      <name val="Arial"/>
      <family val="2"/>
    </font>
    <font>
      <b/>
      <sz val="9"/>
      <name val="Arial"/>
      <family val="2"/>
    </font>
    <font>
      <b/>
      <sz val="12"/>
      <name val="Arial"/>
      <family val="2"/>
    </font>
    <font>
      <b/>
      <sz val="14"/>
      <name val="Arial"/>
      <family val="2"/>
    </font>
    <font>
      <sz val="10"/>
      <name val="Arial"/>
      <family val="2"/>
    </font>
    <font>
      <sz val="10"/>
      <name val="Arial"/>
      <family val="2"/>
    </font>
    <font>
      <sz val="10"/>
      <name val="Arial"/>
      <family val="2"/>
    </font>
    <font>
      <sz val="10"/>
      <name val="Arial"/>
      <family val="2"/>
    </font>
    <font>
      <b/>
      <sz val="16"/>
      <color indexed="60"/>
      <name val="Arial"/>
      <family val="2"/>
    </font>
    <font>
      <u/>
      <sz val="10"/>
      <color indexed="12"/>
      <name val="Arial"/>
      <family val="2"/>
    </font>
    <font>
      <u/>
      <sz val="8"/>
      <color indexed="12"/>
      <name val="Verdana"/>
      <family val="2"/>
    </font>
    <font>
      <b/>
      <sz val="10"/>
      <name val="Verdana"/>
      <family val="2"/>
    </font>
    <font>
      <sz val="8"/>
      <name val="Verdana"/>
      <family val="2"/>
    </font>
    <font>
      <sz val="10"/>
      <name val="Verdana"/>
      <family val="2"/>
    </font>
    <font>
      <i/>
      <sz val="8"/>
      <name val="Arial"/>
      <family val="2"/>
    </font>
    <font>
      <b/>
      <sz val="12"/>
      <color indexed="9"/>
      <name val="Century Gothic"/>
      <family val="2"/>
    </font>
    <font>
      <sz val="12"/>
      <name val="Arial"/>
      <family val="2"/>
    </font>
    <font>
      <sz val="9"/>
      <name val="Arial"/>
      <family val="2"/>
    </font>
    <font>
      <sz val="2"/>
      <color indexed="9"/>
      <name val="Arial"/>
      <family val="2"/>
    </font>
    <font>
      <b/>
      <u val="singleAccounting"/>
      <sz val="10"/>
      <name val="Arial"/>
      <family val="2"/>
    </font>
    <font>
      <sz val="10"/>
      <name val="Arial"/>
      <family val="2"/>
    </font>
    <font>
      <b/>
      <sz val="11"/>
      <name val="Arial"/>
      <family val="2"/>
    </font>
    <font>
      <sz val="10"/>
      <name val="Arial"/>
      <family val="2"/>
    </font>
    <font>
      <i/>
      <sz val="10"/>
      <name val="Arial"/>
      <family val="2"/>
    </font>
    <font>
      <sz val="10"/>
      <name val="Arial"/>
      <family val="2"/>
    </font>
    <font>
      <sz val="11"/>
      <color theme="1"/>
      <name val="Calibri"/>
      <family val="2"/>
      <scheme val="minor"/>
    </font>
    <font>
      <b/>
      <sz val="11"/>
      <color theme="1"/>
      <name val="Calibri"/>
      <family val="2"/>
      <scheme val="minor"/>
    </font>
    <font>
      <sz val="10"/>
      <color theme="0"/>
      <name val="Arial"/>
      <family val="2"/>
    </font>
    <font>
      <b/>
      <sz val="10"/>
      <color theme="1"/>
      <name val="Arial"/>
      <family val="2"/>
    </font>
    <font>
      <sz val="10"/>
      <color theme="1"/>
      <name val="Arial"/>
      <family val="2"/>
    </font>
    <font>
      <sz val="8"/>
      <name val="Calibri"/>
      <family val="2"/>
      <scheme val="minor"/>
    </font>
    <font>
      <sz val="10"/>
      <name val="Calibri"/>
      <family val="2"/>
      <scheme val="minor"/>
    </font>
    <font>
      <b/>
      <sz val="14"/>
      <color rgb="FF002060"/>
      <name val="Arial"/>
      <family val="2"/>
    </font>
    <font>
      <sz val="10"/>
      <color rgb="FFFF0000"/>
      <name val="Arial"/>
      <family val="2"/>
    </font>
    <font>
      <b/>
      <u/>
      <sz val="10"/>
      <name val="Calibri"/>
      <family val="2"/>
      <scheme val="minor"/>
    </font>
    <font>
      <b/>
      <i/>
      <sz val="10"/>
      <name val="Calibri"/>
      <family val="2"/>
      <scheme val="minor"/>
    </font>
    <font>
      <b/>
      <sz val="10"/>
      <name val="Calibri"/>
      <family val="2"/>
      <scheme val="minor"/>
    </font>
    <font>
      <b/>
      <sz val="11"/>
      <name val="Calibri"/>
      <family val="2"/>
      <scheme val="minor"/>
    </font>
    <font>
      <b/>
      <sz val="11"/>
      <color rgb="FFFF0000"/>
      <name val="Calibri"/>
      <family val="2"/>
      <scheme val="minor"/>
    </font>
    <font>
      <b/>
      <sz val="10"/>
      <color rgb="FFFF0000"/>
      <name val="Arial"/>
      <family val="2"/>
    </font>
    <font>
      <sz val="10"/>
      <color rgb="FF0000FF"/>
      <name val="Arial"/>
      <family val="2"/>
    </font>
    <font>
      <b/>
      <sz val="12"/>
      <name val="Calibri"/>
      <family val="2"/>
      <scheme val="minor"/>
    </font>
    <font>
      <sz val="9"/>
      <color theme="0"/>
      <name val="Arial"/>
      <family val="2"/>
    </font>
    <font>
      <sz val="9"/>
      <color theme="0"/>
      <name val="Calibri"/>
      <family val="2"/>
      <scheme val="minor"/>
    </font>
    <font>
      <sz val="10"/>
      <color theme="0"/>
      <name val="Calibri"/>
      <family val="2"/>
      <scheme val="minor"/>
    </font>
    <font>
      <sz val="11"/>
      <name val="Calibri"/>
      <family val="2"/>
      <scheme val="minor"/>
    </font>
    <font>
      <b/>
      <u/>
      <sz val="11"/>
      <name val="Calibri"/>
      <family val="2"/>
      <scheme val="minor"/>
    </font>
    <font>
      <b/>
      <sz val="11"/>
      <color theme="0"/>
      <name val="Arial"/>
      <family val="2"/>
    </font>
    <font>
      <b/>
      <i/>
      <sz val="11"/>
      <name val="Calibri"/>
      <family val="2"/>
      <scheme val="minor"/>
    </font>
    <font>
      <sz val="8"/>
      <color theme="0"/>
      <name val="Calibri"/>
      <family val="2"/>
      <scheme val="minor"/>
    </font>
    <font>
      <i/>
      <sz val="10"/>
      <color rgb="FF00B0F0"/>
      <name val="Arial"/>
      <family val="2"/>
    </font>
    <font>
      <sz val="9"/>
      <color rgb="FFFF0000"/>
      <name val="Arial"/>
      <family val="2"/>
    </font>
    <font>
      <b/>
      <sz val="9"/>
      <color rgb="FFFF0000"/>
      <name val="Arial"/>
      <family val="2"/>
    </font>
    <font>
      <sz val="11"/>
      <color rgb="FF0000FF"/>
      <name val="Calibri"/>
      <family val="2"/>
      <scheme val="minor"/>
    </font>
    <font>
      <b/>
      <u val="singleAccounting"/>
      <sz val="11"/>
      <color theme="1"/>
      <name val="Calibri"/>
      <family val="2"/>
      <scheme val="minor"/>
    </font>
    <font>
      <i/>
      <sz val="11"/>
      <color rgb="FFFF0000"/>
      <name val="Calibri"/>
      <family val="2"/>
      <scheme val="minor"/>
    </font>
    <font>
      <sz val="10"/>
      <color rgb="FF0070C0"/>
      <name val="Arial"/>
      <family val="2"/>
    </font>
    <font>
      <b/>
      <sz val="10"/>
      <color rgb="FF0070C0"/>
      <name val="Arial"/>
      <family val="2"/>
    </font>
    <font>
      <sz val="10"/>
      <color rgb="FF00682F"/>
      <name val="Arial"/>
      <family val="2"/>
    </font>
    <font>
      <b/>
      <sz val="10"/>
      <color rgb="FF00682F"/>
      <name val="Arial"/>
      <family val="2"/>
    </font>
    <font>
      <sz val="10"/>
      <color rgb="FF006666"/>
      <name val="Arial"/>
      <family val="2"/>
    </font>
    <font>
      <b/>
      <sz val="10"/>
      <color theme="1" tint="0.14999847407452621"/>
      <name val="Calibri"/>
      <family val="2"/>
      <scheme val="minor"/>
    </font>
    <font>
      <b/>
      <sz val="28"/>
      <color rgb="FF319B96"/>
      <name val="Verdana"/>
      <family val="2"/>
    </font>
    <font>
      <b/>
      <sz val="16"/>
      <color rgb="FF319B96"/>
      <name val="Arial"/>
      <family val="2"/>
    </font>
    <font>
      <b/>
      <i/>
      <sz val="14"/>
      <name val="Arial"/>
      <family val="2"/>
    </font>
    <font>
      <i/>
      <sz val="10"/>
      <color rgb="FF0000FF"/>
      <name val="Calibri"/>
      <family val="2"/>
      <scheme val="minor"/>
    </font>
    <font>
      <sz val="11"/>
      <color rgb="FFFF0000"/>
      <name val="Calibri"/>
      <family val="2"/>
      <scheme val="minor"/>
    </font>
    <font>
      <b/>
      <sz val="10"/>
      <color theme="1"/>
      <name val="Calibri"/>
      <family val="2"/>
      <scheme val="minor"/>
    </font>
    <font>
      <sz val="8"/>
      <color theme="1"/>
      <name val="Calibri"/>
      <family val="2"/>
      <scheme val="minor"/>
    </font>
    <font>
      <sz val="10"/>
      <color theme="1"/>
      <name val="Calibri"/>
      <family val="2"/>
      <scheme val="minor"/>
    </font>
    <font>
      <u/>
      <sz val="10"/>
      <name val="Calibri"/>
      <family val="2"/>
      <scheme val="minor"/>
    </font>
    <font>
      <i/>
      <sz val="10"/>
      <name val="Calibri"/>
      <family val="2"/>
      <scheme val="minor"/>
    </font>
    <font>
      <b/>
      <sz val="16"/>
      <name val="Arial"/>
      <family val="2"/>
    </font>
    <font>
      <sz val="10"/>
      <color theme="1"/>
      <name val="Calibri"/>
      <family val="2"/>
    </font>
    <font>
      <b/>
      <sz val="10"/>
      <color rgb="FFFF0000"/>
      <name val="Calibri"/>
      <family val="2"/>
      <scheme val="minor"/>
    </font>
    <font>
      <b/>
      <sz val="13"/>
      <color theme="3"/>
      <name val="Calibri"/>
      <family val="2"/>
      <scheme val="minor"/>
    </font>
    <font>
      <b/>
      <sz val="11"/>
      <color theme="3"/>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i/>
      <sz val="11"/>
      <color rgb="FF7F7F7F"/>
      <name val="Calibri"/>
      <family val="2"/>
      <scheme val="minor"/>
    </font>
    <font>
      <sz val="11"/>
      <color theme="0"/>
      <name val="Calibri"/>
      <family val="2"/>
      <scheme val="minor"/>
    </font>
    <font>
      <b/>
      <i/>
      <u/>
      <sz val="10"/>
      <name val="Calibri"/>
      <family val="2"/>
      <scheme val="minor"/>
    </font>
    <font>
      <sz val="11"/>
      <color indexed="8"/>
      <name val="Calibri"/>
      <family val="2"/>
    </font>
    <font>
      <b/>
      <sz val="15"/>
      <color indexed="54"/>
      <name val="Calibri"/>
      <family val="2"/>
    </font>
    <font>
      <u/>
      <sz val="9.35"/>
      <color theme="10"/>
      <name val="Calibri"/>
      <family val="2"/>
    </font>
    <font>
      <sz val="11"/>
      <color theme="1"/>
      <name val="Calibri"/>
      <family val="2"/>
    </font>
    <font>
      <b/>
      <sz val="18"/>
      <color theme="3"/>
      <name val="Cambria"/>
      <family val="2"/>
      <scheme val="major"/>
    </font>
    <font>
      <b/>
      <sz val="11"/>
      <color theme="3" tint="0.39997558519241921"/>
      <name val="Calibri"/>
      <family val="2"/>
      <scheme val="minor"/>
    </font>
    <font>
      <sz val="10"/>
      <color theme="3" tint="0.39997558519241921"/>
      <name val="Arial"/>
      <family val="2"/>
    </font>
    <font>
      <b/>
      <sz val="9"/>
      <color theme="1"/>
      <name val="Arial"/>
      <family val="2"/>
    </font>
    <font>
      <b/>
      <sz val="14"/>
      <color theme="1"/>
      <name val="Calibri"/>
      <family val="2"/>
      <scheme val="minor"/>
    </font>
    <font>
      <sz val="9"/>
      <color theme="1"/>
      <name val="Calibri"/>
      <family val="2"/>
      <scheme val="minor"/>
    </font>
    <font>
      <sz val="8"/>
      <color theme="1"/>
      <name val="Arial"/>
      <family val="2"/>
    </font>
    <font>
      <sz val="9"/>
      <name val="Calibri"/>
      <family val="2"/>
      <scheme val="minor"/>
    </font>
    <font>
      <i/>
      <sz val="10"/>
      <color theme="1"/>
      <name val="Calibri"/>
      <family val="2"/>
      <scheme val="minor"/>
    </font>
    <font>
      <b/>
      <sz val="8"/>
      <color theme="1"/>
      <name val="Arial"/>
      <family val="2"/>
    </font>
    <font>
      <sz val="11"/>
      <name val="Calibri"/>
      <family val="2"/>
    </font>
    <font>
      <b/>
      <sz val="11"/>
      <name val="Calibri"/>
      <family val="2"/>
    </font>
    <font>
      <b/>
      <u/>
      <sz val="10"/>
      <name val="Calibri"/>
      <family val="2"/>
    </font>
    <font>
      <sz val="10"/>
      <name val="Calibri"/>
      <family val="2"/>
    </font>
    <font>
      <b/>
      <i/>
      <sz val="10"/>
      <name val="Calibri"/>
      <family val="2"/>
    </font>
  </fonts>
  <fills count="77">
    <fill>
      <patternFill patternType="none"/>
    </fill>
    <fill>
      <patternFill patternType="gray125"/>
    </fill>
    <fill>
      <patternFill patternType="solid">
        <fgColor indexed="22"/>
        <bgColor indexed="64"/>
      </patternFill>
    </fill>
    <fill>
      <patternFill patternType="solid">
        <fgColor rgb="FFFFFF00"/>
        <bgColor indexed="64"/>
      </patternFill>
    </fill>
    <fill>
      <patternFill patternType="solid">
        <fgColor theme="5" tint="0.59999389629810485"/>
        <bgColor indexed="64"/>
      </patternFill>
    </fill>
    <fill>
      <patternFill patternType="solid">
        <fgColor theme="5" tint="0.39997558519241921"/>
        <bgColor indexed="64"/>
      </patternFill>
    </fill>
    <fill>
      <patternFill patternType="solid">
        <fgColor rgb="FF00CC99"/>
        <bgColor indexed="64"/>
      </patternFill>
    </fill>
    <fill>
      <patternFill patternType="solid">
        <fgColor rgb="FF92D050"/>
        <bgColor indexed="64"/>
      </patternFill>
    </fill>
    <fill>
      <patternFill patternType="solid">
        <fgColor theme="0" tint="-0.34998626667073579"/>
        <bgColor indexed="64"/>
      </patternFill>
    </fill>
    <fill>
      <patternFill patternType="solid">
        <fgColor theme="3" tint="0.59999389629810485"/>
        <bgColor indexed="64"/>
      </patternFill>
    </fill>
    <fill>
      <patternFill patternType="solid">
        <fgColor theme="0" tint="-0.249977111117893"/>
        <bgColor indexed="64"/>
      </patternFill>
    </fill>
    <fill>
      <patternFill patternType="solid">
        <fgColor theme="6" tint="0.39997558519241921"/>
        <bgColor indexed="64"/>
      </patternFill>
    </fill>
    <fill>
      <patternFill patternType="solid">
        <fgColor rgb="FFFFC000"/>
        <bgColor indexed="64"/>
      </patternFill>
    </fill>
    <fill>
      <patternFill patternType="solid">
        <fgColor rgb="FF00B050"/>
        <bgColor indexed="64"/>
      </patternFill>
    </fill>
    <fill>
      <patternFill patternType="solid">
        <fgColor rgb="FF66FF66"/>
        <bgColor indexed="64"/>
      </patternFill>
    </fill>
    <fill>
      <patternFill patternType="solid">
        <fgColor theme="6" tint="0.59999389629810485"/>
        <bgColor indexed="64"/>
      </patternFill>
    </fill>
    <fill>
      <patternFill patternType="solid">
        <fgColor rgb="FF99FF66"/>
        <bgColor indexed="64"/>
      </patternFill>
    </fill>
    <fill>
      <patternFill patternType="solid">
        <fgColor theme="7" tint="0.59999389629810485"/>
        <bgColor indexed="64"/>
      </patternFill>
    </fill>
    <fill>
      <patternFill patternType="solid">
        <fgColor theme="4" tint="0.59999389629810485"/>
        <bgColor indexed="64"/>
      </patternFill>
    </fill>
    <fill>
      <patternFill patternType="solid">
        <fgColor rgb="FFFFFF99"/>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00FFCC"/>
        <bgColor indexed="64"/>
      </patternFill>
    </fill>
    <fill>
      <patternFill patternType="solid">
        <fgColor theme="9" tint="0.39997558519241921"/>
        <bgColor indexed="64"/>
      </patternFill>
    </fill>
    <fill>
      <patternFill patternType="solid">
        <fgColor theme="2" tint="-9.9978637043366805E-2"/>
        <bgColor indexed="64"/>
      </patternFill>
    </fill>
    <fill>
      <patternFill patternType="solid">
        <fgColor theme="5" tint="0.79998168889431442"/>
        <bgColor indexed="64"/>
      </patternFill>
    </fill>
    <fill>
      <patternFill patternType="solid">
        <fgColor rgb="FFFF0000"/>
        <bgColor indexed="64"/>
      </patternFill>
    </fill>
    <fill>
      <patternFill patternType="solid">
        <fgColor theme="2" tint="-0.249977111117893"/>
        <bgColor indexed="64"/>
      </patternFill>
    </fill>
    <fill>
      <patternFill patternType="solid">
        <fgColor rgb="FF319B96"/>
        <bgColor indexed="64"/>
      </patternFill>
    </fill>
    <fill>
      <patternFill patternType="solid">
        <fgColor rgb="FF7030A0"/>
        <bgColor indexed="64"/>
      </patternFill>
    </fill>
    <fill>
      <patternFill patternType="solid">
        <fgColor theme="8" tint="0.59999389629810485"/>
        <bgColor indexed="64"/>
      </patternFill>
    </fill>
    <fill>
      <patternFill patternType="solid">
        <fgColor theme="0"/>
        <bgColor indexed="64"/>
      </patternFill>
    </fill>
    <fill>
      <patternFill patternType="solid">
        <fgColor rgb="FFFFFF66"/>
        <bgColor indexed="64"/>
      </patternFill>
    </fill>
    <fill>
      <patternFill patternType="solid">
        <fgColor rgb="FF66FFFF"/>
        <bgColor indexed="64"/>
      </patternFill>
    </fill>
    <fill>
      <patternFill patternType="solid">
        <fgColor rgb="FFCCFF99"/>
        <bgColor indexed="64"/>
      </patternFill>
    </fill>
    <fill>
      <patternFill patternType="solid">
        <fgColor rgb="FFFF99FF"/>
        <bgColor indexed="64"/>
      </patternFill>
    </fill>
    <fill>
      <patternFill patternType="solid">
        <fgColor theme="4" tint="0.39997558519241921"/>
        <bgColor indexed="64"/>
      </patternFill>
    </fill>
    <fill>
      <patternFill patternType="solid">
        <fgColor theme="7" tint="0.39997558519241921"/>
        <bgColor indexed="64"/>
      </patternFill>
    </fill>
    <fill>
      <patternFill patternType="solid">
        <fgColor theme="0" tint="-4.9989318521683403E-2"/>
        <bgColor indexed="64"/>
      </patternFill>
    </fill>
    <fill>
      <patternFill patternType="solid">
        <fgColor theme="2"/>
        <bgColor indexed="64"/>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tint="0.79998168889431442"/>
        <bgColor indexed="64"/>
      </patternFill>
    </fill>
    <fill>
      <patternFill patternType="solid">
        <fgColor theme="4" tint="0.79998168889431442"/>
        <bgColor indexed="64"/>
      </patternFill>
    </fill>
    <fill>
      <patternFill patternType="solid">
        <fgColor theme="3" tint="0.79998168889431442"/>
        <bgColor indexed="64"/>
      </patternFill>
    </fill>
    <fill>
      <patternFill patternType="solid">
        <fgColor rgb="FFFF9900"/>
        <bgColor indexed="64"/>
      </patternFill>
    </fill>
    <fill>
      <patternFill patternType="solid">
        <fgColor rgb="FFF7E1F7"/>
        <bgColor indexed="64"/>
      </patternFill>
    </fill>
    <fill>
      <patternFill patternType="solid">
        <fgColor rgb="FFFF99CC"/>
        <bgColor indexed="64"/>
      </patternFill>
    </fill>
    <fill>
      <patternFill patternType="solid">
        <fgColor rgb="FFB8CCE4"/>
        <bgColor indexed="64"/>
      </patternFill>
    </fill>
  </fills>
  <borders count="85">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
      <left style="medium">
        <color indexed="64"/>
      </left>
      <right style="medium">
        <color indexed="64"/>
      </right>
      <top style="medium">
        <color indexed="64"/>
      </top>
      <bottom style="medium">
        <color indexed="64"/>
      </bottom>
      <diagonal/>
    </border>
    <border>
      <left/>
      <right style="thin">
        <color indexed="64"/>
      </right>
      <top style="thin">
        <color indexed="64"/>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55"/>
      </left>
      <right/>
      <top/>
      <bottom/>
      <diagonal/>
    </border>
    <border>
      <left style="thin">
        <color indexed="55"/>
      </left>
      <right style="thin">
        <color indexed="55"/>
      </right>
      <top style="thin">
        <color indexed="55"/>
      </top>
      <bottom style="thin">
        <color indexed="55"/>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55"/>
      </left>
      <right/>
      <top style="thin">
        <color indexed="55"/>
      </top>
      <bottom style="thin">
        <color indexed="55"/>
      </bottom>
      <diagonal/>
    </border>
    <border>
      <left/>
      <right/>
      <top style="thin">
        <color indexed="55"/>
      </top>
      <bottom style="thin">
        <color indexed="55"/>
      </bottom>
      <diagonal/>
    </border>
    <border>
      <left/>
      <right style="thin">
        <color indexed="55"/>
      </right>
      <top style="thin">
        <color indexed="55"/>
      </top>
      <bottom style="thin">
        <color indexed="55"/>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indexed="64"/>
      </left>
      <right style="thin">
        <color indexed="64"/>
      </right>
      <top style="medium">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thin">
        <color indexed="64"/>
      </top>
      <bottom/>
      <diagonal/>
    </border>
    <border>
      <left style="medium">
        <color indexed="64"/>
      </left>
      <right/>
      <top style="thin">
        <color indexed="64"/>
      </top>
      <bottom style="thin">
        <color indexed="64"/>
      </bottom>
      <diagonal/>
    </border>
    <border>
      <left/>
      <right style="medium">
        <color indexed="64"/>
      </right>
      <top/>
      <bottom style="medium">
        <color indexed="64"/>
      </bottom>
      <diagonal/>
    </border>
    <border>
      <left style="medium">
        <color indexed="64"/>
      </left>
      <right style="medium">
        <color indexed="64"/>
      </right>
      <top/>
      <bottom style="thin">
        <color indexed="64"/>
      </bottom>
      <diagonal/>
    </border>
    <border>
      <left style="medium">
        <color indexed="64"/>
      </left>
      <right style="medium">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medium">
        <color indexed="6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bottom/>
      <diagonal/>
    </border>
    <border>
      <left/>
      <right/>
      <top/>
      <bottom style="thick">
        <color indexed="49"/>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style="medium">
        <color indexed="64"/>
      </right>
      <top/>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thin">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medium">
        <color indexed="64"/>
      </bottom>
      <diagonal/>
    </border>
    <border>
      <left style="medium">
        <color indexed="64"/>
      </left>
      <right style="thin">
        <color indexed="64"/>
      </right>
      <top style="medium">
        <color indexed="64"/>
      </top>
      <bottom/>
      <diagonal/>
    </border>
    <border>
      <left style="thin">
        <color indexed="64"/>
      </left>
      <right/>
      <top style="medium">
        <color indexed="64"/>
      </top>
      <bottom/>
      <diagonal/>
    </border>
    <border>
      <left style="medium">
        <color indexed="64"/>
      </left>
      <right style="thin">
        <color indexed="64"/>
      </right>
      <top/>
      <bottom style="medium">
        <color indexed="64"/>
      </bottom>
      <diagonal/>
    </border>
    <border>
      <left/>
      <right/>
      <top style="medium">
        <color indexed="64"/>
      </top>
      <bottom style="thin">
        <color indexed="64"/>
      </bottom>
      <diagonal/>
    </border>
  </borders>
  <cellStyleXfs count="85">
    <xf numFmtId="0" fontId="0" fillId="0" borderId="0"/>
    <xf numFmtId="0" fontId="22" fillId="0" borderId="0" applyNumberFormat="0" applyFill="0" applyBorder="0" applyAlignment="0" applyProtection="0">
      <alignment vertical="top"/>
      <protection locked="0"/>
    </xf>
    <xf numFmtId="166" fontId="5" fillId="0" borderId="0" applyFont="0" applyFill="0" applyBorder="0" applyAlignment="0" applyProtection="0"/>
    <xf numFmtId="166" fontId="38" fillId="0" borderId="0" applyFont="0" applyFill="0" applyBorder="0" applyAlignment="0" applyProtection="0"/>
    <xf numFmtId="165" fontId="5" fillId="0" borderId="0" applyFont="0" applyFill="0" applyBorder="0" applyAlignment="0" applyProtection="0"/>
    <xf numFmtId="0" fontId="5" fillId="0" borderId="0"/>
    <xf numFmtId="0" fontId="38" fillId="0" borderId="0"/>
    <xf numFmtId="0" fontId="35" fillId="0" borderId="0"/>
    <xf numFmtId="0" fontId="5" fillId="0" borderId="0"/>
    <xf numFmtId="9" fontId="5" fillId="0" borderId="0" applyFont="0" applyFill="0" applyBorder="0" applyAlignment="0" applyProtection="0"/>
    <xf numFmtId="9" fontId="38" fillId="0" borderId="0" applyFont="0" applyFill="0" applyBorder="0" applyAlignment="0" applyProtection="0"/>
    <xf numFmtId="9" fontId="4" fillId="0" borderId="0" applyFont="0" applyFill="0" applyBorder="0" applyAlignment="0" applyProtection="0"/>
    <xf numFmtId="0" fontId="4" fillId="0" borderId="0"/>
    <xf numFmtId="166" fontId="4" fillId="0" borderId="0" applyFont="0" applyFill="0" applyBorder="0" applyAlignment="0" applyProtection="0"/>
    <xf numFmtId="166" fontId="3" fillId="0" borderId="0" applyFont="0" applyFill="0" applyBorder="0" applyAlignment="0" applyProtection="0"/>
    <xf numFmtId="0" fontId="3" fillId="0" borderId="0"/>
    <xf numFmtId="9" fontId="3" fillId="0" borderId="0" applyFont="0" applyFill="0" applyBorder="0" applyAlignment="0" applyProtection="0"/>
    <xf numFmtId="9" fontId="3" fillId="0" borderId="0" applyFont="0" applyFill="0" applyBorder="0" applyAlignment="0" applyProtection="0"/>
    <xf numFmtId="0" fontId="3" fillId="0" borderId="0"/>
    <xf numFmtId="166" fontId="3" fillId="0" borderId="0" applyFont="0" applyFill="0" applyBorder="0" applyAlignment="0" applyProtection="0"/>
    <xf numFmtId="9" fontId="5" fillId="0" borderId="0" applyFont="0" applyFill="0" applyBorder="0" applyAlignment="0" applyProtection="0"/>
    <xf numFmtId="0" fontId="2" fillId="0" borderId="0"/>
    <xf numFmtId="0" fontId="86" fillId="0" borderId="0"/>
    <xf numFmtId="166" fontId="86" fillId="0" borderId="0" applyFont="0" applyFill="0" applyBorder="0" applyAlignment="0" applyProtection="0"/>
    <xf numFmtId="0" fontId="86" fillId="0" borderId="0"/>
    <xf numFmtId="166" fontId="86" fillId="0" borderId="0" applyFont="0" applyFill="0" applyBorder="0" applyAlignment="0" applyProtection="0"/>
    <xf numFmtId="43" fontId="2" fillId="0" borderId="0" applyFont="0" applyFill="0" applyBorder="0" applyAlignment="0" applyProtection="0"/>
    <xf numFmtId="164" fontId="2" fillId="0" borderId="0" applyFont="0" applyFill="0" applyBorder="0" applyAlignment="0" applyProtection="0"/>
    <xf numFmtId="9" fontId="2" fillId="0" borderId="0" applyFont="0" applyFill="0" applyBorder="0" applyAlignment="0" applyProtection="0"/>
    <xf numFmtId="0" fontId="88" fillId="0" borderId="54" applyNumberFormat="0" applyFill="0" applyAlignment="0" applyProtection="0"/>
    <xf numFmtId="0" fontId="89" fillId="0" borderId="55" applyNumberFormat="0" applyFill="0" applyAlignment="0" applyProtection="0"/>
    <xf numFmtId="0" fontId="89" fillId="0" borderId="0" applyNumberFormat="0" applyFill="0" applyBorder="0" applyAlignment="0" applyProtection="0"/>
    <xf numFmtId="0" fontId="90" fillId="40" borderId="0" applyNumberFormat="0" applyBorder="0" applyAlignment="0" applyProtection="0"/>
    <xf numFmtId="0" fontId="91" fillId="41" borderId="0" applyNumberFormat="0" applyBorder="0" applyAlignment="0" applyProtection="0"/>
    <xf numFmtId="0" fontId="92" fillId="42" borderId="56" applyNumberFormat="0" applyAlignment="0" applyProtection="0"/>
    <xf numFmtId="0" fontId="93" fillId="43" borderId="57" applyNumberFormat="0" applyAlignment="0" applyProtection="0"/>
    <xf numFmtId="0" fontId="94" fillId="43" borderId="56" applyNumberFormat="0" applyAlignment="0" applyProtection="0"/>
    <xf numFmtId="0" fontId="95" fillId="0" borderId="58" applyNumberFormat="0" applyFill="0" applyAlignment="0" applyProtection="0"/>
    <xf numFmtId="0" fontId="96" fillId="44" borderId="59" applyNumberFormat="0" applyAlignment="0" applyProtection="0"/>
    <xf numFmtId="0" fontId="79" fillId="0" borderId="0" applyNumberFormat="0" applyFill="0" applyBorder="0" applyAlignment="0" applyProtection="0"/>
    <xf numFmtId="0" fontId="97" fillId="0" borderId="0" applyNumberFormat="0" applyFill="0" applyBorder="0" applyAlignment="0" applyProtection="0"/>
    <xf numFmtId="0" fontId="39" fillId="0" borderId="61" applyNumberFormat="0" applyFill="0" applyAlignment="0" applyProtection="0"/>
    <xf numFmtId="0" fontId="98" fillId="46" borderId="0" applyNumberFormat="0" applyBorder="0" applyAlignment="0" applyProtection="0"/>
    <xf numFmtId="0" fontId="1" fillId="47" borderId="0" applyNumberFormat="0" applyBorder="0" applyAlignment="0" applyProtection="0"/>
    <xf numFmtId="0" fontId="1" fillId="48" borderId="0" applyNumberFormat="0" applyBorder="0" applyAlignment="0" applyProtection="0"/>
    <xf numFmtId="0" fontId="98" fillId="49" borderId="0" applyNumberFormat="0" applyBorder="0" applyAlignment="0" applyProtection="0"/>
    <xf numFmtId="0" fontId="98" fillId="50" borderId="0" applyNumberFormat="0" applyBorder="0" applyAlignment="0" applyProtection="0"/>
    <xf numFmtId="0" fontId="1" fillId="51" borderId="0" applyNumberFormat="0" applyBorder="0" applyAlignment="0" applyProtection="0"/>
    <xf numFmtId="0" fontId="1" fillId="52" borderId="0" applyNumberFormat="0" applyBorder="0" applyAlignment="0" applyProtection="0"/>
    <xf numFmtId="0" fontId="98" fillId="53" borderId="0" applyNumberFormat="0" applyBorder="0" applyAlignment="0" applyProtection="0"/>
    <xf numFmtId="0" fontId="98" fillId="54" borderId="0" applyNumberFormat="0" applyBorder="0" applyAlignment="0" applyProtection="0"/>
    <xf numFmtId="0" fontId="1" fillId="55" borderId="0" applyNumberFormat="0" applyBorder="0" applyAlignment="0" applyProtection="0"/>
    <xf numFmtId="0" fontId="1" fillId="56" borderId="0" applyNumberFormat="0" applyBorder="0" applyAlignment="0" applyProtection="0"/>
    <xf numFmtId="0" fontId="98" fillId="57" borderId="0" applyNumberFormat="0" applyBorder="0" applyAlignment="0" applyProtection="0"/>
    <xf numFmtId="0" fontId="98" fillId="58" borderId="0" applyNumberFormat="0" applyBorder="0" applyAlignment="0" applyProtection="0"/>
    <xf numFmtId="0" fontId="1" fillId="59" borderId="0" applyNumberFormat="0" applyBorder="0" applyAlignment="0" applyProtection="0"/>
    <xf numFmtId="0" fontId="1" fillId="60" borderId="0" applyNumberFormat="0" applyBorder="0" applyAlignment="0" applyProtection="0"/>
    <xf numFmtId="0" fontId="98" fillId="61" borderId="0" applyNumberFormat="0" applyBorder="0" applyAlignment="0" applyProtection="0"/>
    <xf numFmtId="0" fontId="98" fillId="62" borderId="0" applyNumberFormat="0" applyBorder="0" applyAlignment="0" applyProtection="0"/>
    <xf numFmtId="0" fontId="1" fillId="63" borderId="0" applyNumberFormat="0" applyBorder="0" applyAlignment="0" applyProtection="0"/>
    <xf numFmtId="0" fontId="1" fillId="64" borderId="0" applyNumberFormat="0" applyBorder="0" applyAlignment="0" applyProtection="0"/>
    <xf numFmtId="0" fontId="98" fillId="65" borderId="0" applyNumberFormat="0" applyBorder="0" applyAlignment="0" applyProtection="0"/>
    <xf numFmtId="0" fontId="98" fillId="66" borderId="0" applyNumberFormat="0" applyBorder="0" applyAlignment="0" applyProtection="0"/>
    <xf numFmtId="0" fontId="1" fillId="67" borderId="0" applyNumberFormat="0" applyBorder="0" applyAlignment="0" applyProtection="0"/>
    <xf numFmtId="0" fontId="1" fillId="68" borderId="0" applyNumberFormat="0" applyBorder="0" applyAlignment="0" applyProtection="0"/>
    <xf numFmtId="0" fontId="98" fillId="69" borderId="0" applyNumberFormat="0" applyBorder="0" applyAlignment="0" applyProtection="0"/>
    <xf numFmtId="0" fontId="1" fillId="0" borderId="0"/>
    <xf numFmtId="0" fontId="101" fillId="0" borderId="69" applyNumberFormat="0" applyFill="0" applyAlignment="0" applyProtection="0"/>
    <xf numFmtId="192" fontId="5" fillId="0" borderId="0" applyFont="0" applyFill="0" applyBorder="0" applyAlignment="0" applyProtection="0"/>
    <xf numFmtId="0" fontId="102" fillId="0" borderId="0" applyNumberFormat="0" applyFill="0" applyBorder="0" applyAlignment="0" applyProtection="0">
      <alignment vertical="top"/>
      <protection locked="0"/>
    </xf>
    <xf numFmtId="0" fontId="22" fillId="0" borderId="0" applyNumberFormat="0" applyFill="0" applyBorder="0" applyAlignment="0" applyProtection="0">
      <alignment vertical="top"/>
      <protection locked="0"/>
    </xf>
    <xf numFmtId="166" fontId="100" fillId="0" borderId="0" applyFont="0" applyFill="0" applyBorder="0" applyAlignment="0" applyProtection="0"/>
    <xf numFmtId="193" fontId="5" fillId="0" borderId="0" applyFont="0" applyFill="0" applyBorder="0" applyAlignment="0" applyProtection="0"/>
    <xf numFmtId="166" fontId="100" fillId="0" borderId="0" applyFont="0" applyFill="0" applyBorder="0" applyAlignment="0" applyProtection="0"/>
    <xf numFmtId="166" fontId="100" fillId="0" borderId="0" applyFont="0" applyFill="0" applyBorder="0" applyAlignment="0" applyProtection="0"/>
    <xf numFmtId="166" fontId="1" fillId="0" borderId="0" applyFont="0" applyFill="0" applyBorder="0" applyAlignment="0" applyProtection="0"/>
    <xf numFmtId="0" fontId="103" fillId="0" borderId="0"/>
    <xf numFmtId="0" fontId="5" fillId="0" borderId="0"/>
    <xf numFmtId="3" fontId="5" fillId="0" borderId="0">
      <alignment vertical="center"/>
    </xf>
    <xf numFmtId="0" fontId="5" fillId="0" borderId="0"/>
    <xf numFmtId="0" fontId="1" fillId="0" borderId="0"/>
    <xf numFmtId="0" fontId="5" fillId="0" borderId="0"/>
    <xf numFmtId="0" fontId="5" fillId="0" borderId="0"/>
    <xf numFmtId="0" fontId="1" fillId="45" borderId="60" applyNumberFormat="0" applyFont="0" applyAlignment="0" applyProtection="0"/>
    <xf numFmtId="0" fontId="104" fillId="0" borderId="0" applyNumberFormat="0" applyFill="0" applyBorder="0" applyAlignment="0" applyProtection="0"/>
  </cellStyleXfs>
  <cellXfs count="1619">
    <xf numFmtId="0" fontId="0" fillId="0" borderId="0" xfId="0"/>
    <xf numFmtId="0" fontId="0" fillId="0" borderId="0" xfId="0" applyAlignment="1">
      <alignment horizontal="center"/>
    </xf>
    <xf numFmtId="0" fontId="7" fillId="0" borderId="0" xfId="0" applyFont="1"/>
    <xf numFmtId="10" fontId="0" fillId="0" borderId="0" xfId="0" applyNumberFormat="1"/>
    <xf numFmtId="0" fontId="7" fillId="0" borderId="0" xfId="0" applyFont="1" applyAlignment="1">
      <alignment horizontal="center"/>
    </xf>
    <xf numFmtId="0" fontId="7" fillId="2" borderId="1" xfId="0" applyFont="1" applyFill="1" applyBorder="1"/>
    <xf numFmtId="0" fontId="7" fillId="2" borderId="2" xfId="0" applyFont="1" applyFill="1" applyBorder="1"/>
    <xf numFmtId="0" fontId="7" fillId="2" borderId="2" xfId="0" applyFont="1" applyFill="1" applyBorder="1" applyAlignment="1">
      <alignment horizontal="center"/>
    </xf>
    <xf numFmtId="0" fontId="8" fillId="0" borderId="0" xfId="0" applyFont="1"/>
    <xf numFmtId="166" fontId="0" fillId="0" borderId="0" xfId="2" applyFont="1"/>
    <xf numFmtId="167" fontId="0" fillId="0" borderId="0" xfId="2" applyNumberFormat="1" applyFont="1"/>
    <xf numFmtId="167" fontId="7" fillId="2" borderId="3" xfId="2" applyNumberFormat="1" applyFont="1" applyFill="1" applyBorder="1"/>
    <xf numFmtId="166" fontId="7" fillId="0" borderId="0" xfId="2" applyFont="1"/>
    <xf numFmtId="167" fontId="7" fillId="0" borderId="0" xfId="2" applyNumberFormat="1" applyFont="1"/>
    <xf numFmtId="167" fontId="7" fillId="0" borderId="0" xfId="0" applyNumberFormat="1" applyFont="1" applyAlignment="1">
      <alignment horizontal="center"/>
    </xf>
    <xf numFmtId="172" fontId="0" fillId="0" borderId="0" xfId="9" applyNumberFormat="1" applyFont="1"/>
    <xf numFmtId="172" fontId="0" fillId="0" borderId="0" xfId="0" applyNumberFormat="1"/>
    <xf numFmtId="0" fontId="7" fillId="0" borderId="0" xfId="0" applyFont="1" applyAlignment="1"/>
    <xf numFmtId="167" fontId="7" fillId="2" borderId="2" xfId="2" applyNumberFormat="1" applyFont="1" applyFill="1" applyBorder="1"/>
    <xf numFmtId="0" fontId="0" fillId="0" borderId="0" xfId="0" applyFill="1"/>
    <xf numFmtId="167" fontId="0" fillId="0" borderId="0" xfId="2" applyNumberFormat="1" applyFont="1" applyFill="1"/>
    <xf numFmtId="0" fontId="7" fillId="0" borderId="0" xfId="0" applyFont="1" applyAlignment="1">
      <alignment horizontal="center" vertical="center" wrapText="1"/>
    </xf>
    <xf numFmtId="0" fontId="0" fillId="0" borderId="4" xfId="0" applyBorder="1" applyAlignment="1">
      <alignment horizontal="center"/>
    </xf>
    <xf numFmtId="169" fontId="7" fillId="0" borderId="0" xfId="2" applyNumberFormat="1" applyFont="1"/>
    <xf numFmtId="0" fontId="10" fillId="0" borderId="0" xfId="0" applyFont="1"/>
    <xf numFmtId="0" fontId="7" fillId="0" borderId="4" xfId="0" applyFont="1" applyBorder="1"/>
    <xf numFmtId="0" fontId="0" fillId="0" borderId="4" xfId="0" applyBorder="1"/>
    <xf numFmtId="167" fontId="0" fillId="0" borderId="4" xfId="2" applyNumberFormat="1" applyFont="1" applyBorder="1"/>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vertical="center"/>
    </xf>
    <xf numFmtId="0" fontId="7" fillId="2" borderId="1" xfId="0" applyFont="1" applyFill="1" applyBorder="1" applyAlignment="1">
      <alignment horizontal="center" vertical="center" wrapText="1"/>
    </xf>
    <xf numFmtId="170" fontId="7" fillId="0" borderId="0" xfId="0" applyNumberFormat="1" applyFont="1"/>
    <xf numFmtId="166" fontId="7" fillId="0" borderId="0" xfId="0" applyNumberFormat="1" applyFont="1"/>
    <xf numFmtId="0" fontId="0" fillId="0" borderId="0" xfId="0" applyAlignment="1">
      <alignment horizontal="left" vertical="center" wrapText="1"/>
    </xf>
    <xf numFmtId="0" fontId="8" fillId="0" borderId="0" xfId="0" applyFont="1" applyAlignment="1">
      <alignment horizontal="left" vertical="center" wrapText="1"/>
    </xf>
    <xf numFmtId="0" fontId="8" fillId="0" borderId="4" xfId="0" applyFont="1" applyBorder="1" applyAlignment="1"/>
    <xf numFmtId="0" fontId="0" fillId="0" borderId="4" xfId="0" applyBorder="1" applyAlignment="1"/>
    <xf numFmtId="0" fontId="8" fillId="0" borderId="0" xfId="0" applyFont="1" applyAlignment="1">
      <alignment horizontal="center"/>
    </xf>
    <xf numFmtId="0" fontId="7" fillId="0" borderId="0" xfId="0" applyFont="1" applyFill="1" applyBorder="1"/>
    <xf numFmtId="0" fontId="7" fillId="0" borderId="0" xfId="0" applyFont="1" applyFill="1" applyBorder="1" applyAlignment="1">
      <alignment horizontal="center"/>
    </xf>
    <xf numFmtId="167" fontId="7" fillId="0" borderId="0" xfId="2" applyNumberFormat="1" applyFont="1" applyFill="1" applyBorder="1"/>
    <xf numFmtId="0" fontId="7" fillId="0" borderId="0" xfId="0" applyFont="1" applyFill="1"/>
    <xf numFmtId="0" fontId="8" fillId="0" borderId="0" xfId="0" applyFont="1" applyFill="1" applyBorder="1"/>
    <xf numFmtId="9" fontId="7" fillId="0" borderId="0" xfId="0" applyNumberFormat="1" applyFont="1" applyFill="1" applyBorder="1" applyAlignment="1">
      <alignment horizontal="center"/>
    </xf>
    <xf numFmtId="0" fontId="7" fillId="0" borderId="0" xfId="0" applyFont="1" applyBorder="1" applyAlignment="1">
      <alignment horizontal="center"/>
    </xf>
    <xf numFmtId="0" fontId="0" fillId="0" borderId="0" xfId="0" applyFill="1" applyAlignment="1">
      <alignment horizontal="center"/>
    </xf>
    <xf numFmtId="0" fontId="8" fillId="0" borderId="0" xfId="0" applyFont="1" applyFill="1"/>
    <xf numFmtId="0" fontId="8" fillId="0" borderId="0" xfId="0" applyFont="1" applyAlignment="1">
      <alignment vertical="center" wrapText="1"/>
    </xf>
    <xf numFmtId="0" fontId="8" fillId="0" borderId="0" xfId="0" applyFont="1" applyAlignment="1">
      <alignment horizontal="left"/>
    </xf>
    <xf numFmtId="167" fontId="7" fillId="0" borderId="0" xfId="2" applyNumberFormat="1" applyFont="1" applyAlignment="1">
      <alignment horizontal="center"/>
    </xf>
    <xf numFmtId="167" fontId="7" fillId="0" borderId="0" xfId="0" applyNumberFormat="1" applyFont="1" applyAlignment="1"/>
    <xf numFmtId="167" fontId="0" fillId="0" borderId="0" xfId="2" applyNumberFormat="1" applyFont="1" applyAlignment="1">
      <alignment horizontal="center" vertical="center" wrapText="1"/>
    </xf>
    <xf numFmtId="0" fontId="7" fillId="0" borderId="4" xfId="0" applyFont="1" applyBorder="1" applyAlignment="1"/>
    <xf numFmtId="0" fontId="7" fillId="0" borderId="0" xfId="0" applyFont="1" applyBorder="1" applyAlignment="1"/>
    <xf numFmtId="0" fontId="8" fillId="0" borderId="0" xfId="0" applyFont="1" applyBorder="1" applyAlignment="1"/>
    <xf numFmtId="0" fontId="7" fillId="0" borderId="0" xfId="0" applyNumberFormat="1" applyFont="1" applyBorder="1" applyAlignment="1"/>
    <xf numFmtId="0" fontId="8" fillId="0" borderId="0" xfId="0" applyFont="1" applyBorder="1" applyAlignment="1">
      <alignment horizontal="center"/>
    </xf>
    <xf numFmtId="168" fontId="0" fillId="0" borderId="0" xfId="2" applyNumberFormat="1" applyFont="1" applyAlignment="1">
      <alignment horizontal="center" vertical="center" wrapText="1"/>
    </xf>
    <xf numFmtId="0" fontId="7" fillId="0" borderId="0" xfId="0" applyFont="1" applyAlignment="1">
      <alignment horizontal="left" vertical="center" wrapText="1"/>
    </xf>
    <xf numFmtId="167" fontId="8" fillId="0" borderId="0" xfId="2" applyNumberFormat="1" applyFont="1" applyAlignment="1">
      <alignment horizontal="center" vertical="center" wrapText="1"/>
    </xf>
    <xf numFmtId="0" fontId="7" fillId="0" borderId="0" xfId="0" applyFont="1" applyFill="1" applyAlignment="1">
      <alignment horizontal="center"/>
    </xf>
    <xf numFmtId="167" fontId="0" fillId="0" borderId="0" xfId="0" applyNumberFormat="1"/>
    <xf numFmtId="10" fontId="0" fillId="0" borderId="0" xfId="2" applyNumberFormat="1" applyFont="1"/>
    <xf numFmtId="9" fontId="0" fillId="0" borderId="0" xfId="9" applyFont="1"/>
    <xf numFmtId="10" fontId="0" fillId="0" borderId="0" xfId="9" applyNumberFormat="1" applyFont="1"/>
    <xf numFmtId="0" fontId="8" fillId="0" borderId="4" xfId="0" applyFont="1" applyFill="1" applyBorder="1" applyAlignment="1"/>
    <xf numFmtId="166" fontId="0" fillId="0" borderId="0" xfId="0" applyNumberFormat="1"/>
    <xf numFmtId="0" fontId="8" fillId="0" borderId="0" xfId="0" applyFont="1" applyAlignment="1">
      <alignment horizontal="center" vertical="center"/>
    </xf>
    <xf numFmtId="171" fontId="7" fillId="0" borderId="0" xfId="9" applyNumberFormat="1" applyFont="1"/>
    <xf numFmtId="0" fontId="7" fillId="0" borderId="0" xfId="0" applyFont="1" applyAlignment="1">
      <alignment horizontal="left"/>
    </xf>
    <xf numFmtId="170" fontId="0" fillId="0" borderId="0" xfId="0" applyNumberFormat="1"/>
    <xf numFmtId="167" fontId="17" fillId="3" borderId="0" xfId="2" applyNumberFormat="1" applyFont="1" applyFill="1"/>
    <xf numFmtId="167" fontId="0" fillId="0" borderId="0" xfId="0" applyNumberFormat="1" applyAlignment="1">
      <alignment vertical="center"/>
    </xf>
    <xf numFmtId="167" fontId="17" fillId="4" borderId="0" xfId="2" applyNumberFormat="1" applyFont="1" applyFill="1"/>
    <xf numFmtId="167" fontId="17" fillId="5" borderId="0" xfId="2" applyNumberFormat="1" applyFont="1" applyFill="1"/>
    <xf numFmtId="167" fontId="7" fillId="3" borderId="3" xfId="2" applyNumberFormat="1" applyFont="1" applyFill="1" applyBorder="1"/>
    <xf numFmtId="172" fontId="17" fillId="3" borderId="0" xfId="9" applyNumberFormat="1" applyFont="1" applyFill="1"/>
    <xf numFmtId="167" fontId="7" fillId="4" borderId="0" xfId="2" applyNumberFormat="1" applyFont="1" applyFill="1"/>
    <xf numFmtId="172" fontId="17" fillId="4" borderId="0" xfId="9" applyNumberFormat="1" applyFont="1" applyFill="1"/>
    <xf numFmtId="167" fontId="7" fillId="3" borderId="0" xfId="2" applyNumberFormat="1" applyFont="1" applyFill="1"/>
    <xf numFmtId="167" fontId="7" fillId="4" borderId="3" xfId="2" applyNumberFormat="1" applyFont="1" applyFill="1" applyBorder="1"/>
    <xf numFmtId="168" fontId="7" fillId="3" borderId="0" xfId="2" applyNumberFormat="1" applyFont="1" applyFill="1"/>
    <xf numFmtId="173" fontId="17" fillId="3" borderId="0" xfId="2" applyNumberFormat="1" applyFont="1" applyFill="1" applyAlignment="1">
      <alignment horizontal="center" vertical="center" wrapText="1"/>
    </xf>
    <xf numFmtId="173" fontId="17" fillId="3" borderId="0" xfId="2" applyNumberFormat="1" applyFont="1" applyFill="1"/>
    <xf numFmtId="177" fontId="7" fillId="3" borderId="0" xfId="2" applyNumberFormat="1" applyFont="1" applyFill="1"/>
    <xf numFmtId="10" fontId="6" fillId="0" borderId="0" xfId="9" applyNumberFormat="1" applyFont="1"/>
    <xf numFmtId="0" fontId="8" fillId="5" borderId="0" xfId="0" applyFont="1" applyFill="1"/>
    <xf numFmtId="170" fontId="7" fillId="3" borderId="0" xfId="2" applyNumberFormat="1" applyFont="1" applyFill="1"/>
    <xf numFmtId="175" fontId="0" fillId="3" borderId="0" xfId="0" applyNumberFormat="1" applyFill="1"/>
    <xf numFmtId="167" fontId="15" fillId="6" borderId="0" xfId="2" applyNumberFormat="1" applyFont="1" applyFill="1"/>
    <xf numFmtId="0" fontId="8" fillId="0" borderId="0" xfId="0" applyFont="1" applyAlignment="1">
      <alignment vertical="center"/>
    </xf>
    <xf numFmtId="167" fontId="8" fillId="0" borderId="5" xfId="2" applyNumberFormat="1" applyFont="1" applyFill="1" applyBorder="1" applyAlignment="1">
      <alignment vertical="center"/>
    </xf>
    <xf numFmtId="167" fontId="16" fillId="7" borderId="0" xfId="2" applyNumberFormat="1" applyFont="1" applyFill="1"/>
    <xf numFmtId="0" fontId="7" fillId="2" borderId="2" xfId="0" applyFont="1" applyFill="1" applyBorder="1" applyAlignment="1">
      <alignment vertical="center"/>
    </xf>
    <xf numFmtId="0" fontId="0" fillId="2" borderId="2" xfId="0" applyFill="1" applyBorder="1" applyAlignment="1">
      <alignment vertical="center"/>
    </xf>
    <xf numFmtId="167" fontId="7" fillId="8" borderId="2" xfId="2" applyNumberFormat="1" applyFont="1" applyFill="1" applyBorder="1" applyAlignment="1">
      <alignment vertical="center"/>
    </xf>
    <xf numFmtId="167" fontId="0" fillId="0" borderId="0" xfId="2" applyNumberFormat="1" applyFont="1" applyAlignment="1">
      <alignment vertical="center"/>
    </xf>
    <xf numFmtId="0" fontId="0" fillId="0" borderId="0" xfId="0" applyFill="1" applyAlignment="1">
      <alignment vertical="center"/>
    </xf>
    <xf numFmtId="0" fontId="7" fillId="0" borderId="0" xfId="0" applyFont="1" applyAlignment="1">
      <alignment vertical="center"/>
    </xf>
    <xf numFmtId="167" fontId="7" fillId="0" borderId="0" xfId="2" applyNumberFormat="1" applyFont="1" applyAlignment="1">
      <alignment vertical="center"/>
    </xf>
    <xf numFmtId="167" fontId="7" fillId="2" borderId="2" xfId="2" applyNumberFormat="1" applyFont="1" applyFill="1" applyBorder="1" applyAlignment="1">
      <alignment vertical="center"/>
    </xf>
    <xf numFmtId="0" fontId="9" fillId="2" borderId="2" xfId="0" applyFont="1" applyFill="1" applyBorder="1" applyAlignment="1">
      <alignment vertical="center"/>
    </xf>
    <xf numFmtId="0" fontId="10" fillId="2" borderId="2" xfId="0" applyFont="1" applyFill="1" applyBorder="1" applyAlignment="1">
      <alignment vertical="center"/>
    </xf>
    <xf numFmtId="167" fontId="9" fillId="2" borderId="2" xfId="2" applyNumberFormat="1" applyFont="1" applyFill="1" applyBorder="1" applyAlignment="1">
      <alignment vertical="center"/>
    </xf>
    <xf numFmtId="10" fontId="14" fillId="8" borderId="2" xfId="9" applyNumberFormat="1" applyFont="1" applyFill="1" applyBorder="1" applyAlignment="1">
      <alignment vertical="center"/>
    </xf>
    <xf numFmtId="167" fontId="11" fillId="0" borderId="5" xfId="2" applyNumberFormat="1" applyFont="1" applyFill="1" applyBorder="1" applyAlignment="1">
      <alignment vertical="center"/>
    </xf>
    <xf numFmtId="0" fontId="40" fillId="0" borderId="0" xfId="0" applyFont="1" applyAlignment="1">
      <alignment vertical="center"/>
    </xf>
    <xf numFmtId="167" fontId="17" fillId="9" borderId="0" xfId="2" applyNumberFormat="1" applyFont="1" applyFill="1"/>
    <xf numFmtId="167" fontId="17" fillId="9" borderId="0" xfId="2" applyNumberFormat="1" applyFont="1" applyFill="1" applyAlignment="1">
      <alignment horizontal="center" vertical="center" wrapText="1"/>
    </xf>
    <xf numFmtId="177" fontId="7" fillId="9" borderId="0" xfId="2" applyNumberFormat="1" applyFont="1" applyFill="1"/>
    <xf numFmtId="167" fontId="18" fillId="9" borderId="0" xfId="2" applyNumberFormat="1" applyFont="1" applyFill="1"/>
    <xf numFmtId="175" fontId="7" fillId="0" borderId="0" xfId="0" applyNumberFormat="1" applyFont="1"/>
    <xf numFmtId="167" fontId="7" fillId="0" borderId="0" xfId="0" applyNumberFormat="1" applyFont="1"/>
    <xf numFmtId="173" fontId="0" fillId="0" borderId="0" xfId="2" applyNumberFormat="1" applyFont="1"/>
    <xf numFmtId="0" fontId="7" fillId="0" borderId="0" xfId="0" applyFont="1" applyFill="1" applyAlignment="1">
      <alignment horizontal="left" vertical="center" wrapText="1"/>
    </xf>
    <xf numFmtId="0" fontId="0" fillId="0" borderId="0" xfId="0" applyFill="1" applyAlignment="1">
      <alignment horizontal="left" vertical="center" wrapText="1"/>
    </xf>
    <xf numFmtId="167" fontId="17" fillId="9" borderId="0" xfId="2" applyNumberFormat="1" applyFont="1" applyFill="1" applyAlignment="1">
      <alignment horizontal="center" vertical="center" wrapText="1"/>
    </xf>
    <xf numFmtId="0" fontId="7" fillId="3" borderId="0" xfId="0" applyFont="1" applyFill="1" applyAlignment="1">
      <alignment horizontal="left" vertical="center" wrapText="1"/>
    </xf>
    <xf numFmtId="0" fontId="8" fillId="3" borderId="0" xfId="0" applyFont="1" applyFill="1" applyAlignment="1">
      <alignment horizontal="left" vertical="center" wrapText="1"/>
    </xf>
    <xf numFmtId="167" fontId="19" fillId="3" borderId="0" xfId="2" applyNumberFormat="1" applyFont="1" applyFill="1"/>
    <xf numFmtId="175" fontId="0" fillId="0" borderId="0" xfId="0" applyNumberFormat="1"/>
    <xf numFmtId="0" fontId="7" fillId="2" borderId="6" xfId="0" applyFont="1" applyFill="1" applyBorder="1" applyAlignment="1">
      <alignment vertical="center"/>
    </xf>
    <xf numFmtId="0" fontId="7" fillId="2" borderId="4" xfId="0" applyFont="1" applyFill="1" applyBorder="1" applyAlignment="1">
      <alignment vertical="center"/>
    </xf>
    <xf numFmtId="0" fontId="7" fillId="2" borderId="4" xfId="0" applyFont="1" applyFill="1" applyBorder="1" applyAlignment="1">
      <alignment horizontal="center" vertical="center"/>
    </xf>
    <xf numFmtId="167" fontId="17" fillId="0" borderId="0" xfId="2" applyNumberFormat="1" applyFont="1" applyFill="1" applyAlignment="1">
      <alignment vertical="center"/>
    </xf>
    <xf numFmtId="167" fontId="17" fillId="0" borderId="0" xfId="2" applyNumberFormat="1" applyFont="1" applyFill="1"/>
    <xf numFmtId="167" fontId="7" fillId="0" borderId="0" xfId="2" applyNumberFormat="1" applyFont="1" applyFill="1"/>
    <xf numFmtId="167" fontId="20" fillId="3" borderId="0" xfId="2" applyNumberFormat="1" applyFont="1" applyFill="1"/>
    <xf numFmtId="0" fontId="7" fillId="3" borderId="7" xfId="0" applyFont="1" applyFill="1" applyBorder="1" applyAlignment="1">
      <alignment horizontal="left"/>
    </xf>
    <xf numFmtId="0" fontId="7" fillId="3" borderId="8" xfId="0" applyFont="1" applyFill="1" applyBorder="1" applyAlignment="1">
      <alignment horizontal="center"/>
    </xf>
    <xf numFmtId="0" fontId="7" fillId="3" borderId="8" xfId="0" applyFont="1" applyFill="1" applyBorder="1"/>
    <xf numFmtId="167" fontId="7" fillId="3" borderId="8" xfId="2" applyNumberFormat="1" applyFont="1" applyFill="1" applyBorder="1"/>
    <xf numFmtId="0" fontId="7" fillId="3" borderId="9" xfId="0" applyFont="1" applyFill="1" applyBorder="1" applyAlignment="1">
      <alignment horizontal="center"/>
    </xf>
    <xf numFmtId="0" fontId="7" fillId="3" borderId="0" xfId="0" applyFont="1" applyFill="1" applyBorder="1"/>
    <xf numFmtId="167" fontId="7" fillId="3" borderId="0" xfId="2" applyNumberFormat="1" applyFont="1" applyFill="1" applyBorder="1"/>
    <xf numFmtId="0" fontId="0" fillId="3" borderId="0" xfId="0" applyFill="1" applyBorder="1"/>
    <xf numFmtId="0" fontId="0" fillId="3" borderId="0" xfId="0" applyFill="1" applyBorder="1" applyAlignment="1">
      <alignment horizontal="center"/>
    </xf>
    <xf numFmtId="167" fontId="20" fillId="3" borderId="0" xfId="2" applyNumberFormat="1" applyFont="1" applyFill="1" applyBorder="1"/>
    <xf numFmtId="0" fontId="7" fillId="3" borderId="6" xfId="0" applyFont="1" applyFill="1" applyBorder="1" applyAlignment="1">
      <alignment horizontal="center"/>
    </xf>
    <xf numFmtId="0" fontId="0" fillId="3" borderId="4" xfId="0" applyFill="1" applyBorder="1"/>
    <xf numFmtId="0" fontId="0" fillId="3" borderId="4" xfId="0" applyFill="1" applyBorder="1" applyAlignment="1">
      <alignment horizontal="center"/>
    </xf>
    <xf numFmtId="167" fontId="20" fillId="3" borderId="4" xfId="2" applyNumberFormat="1" applyFont="1" applyFill="1" applyBorder="1"/>
    <xf numFmtId="167" fontId="7" fillId="3" borderId="4" xfId="2" applyNumberFormat="1" applyFont="1" applyFill="1" applyBorder="1"/>
    <xf numFmtId="167" fontId="7" fillId="10" borderId="3" xfId="2" applyNumberFormat="1" applyFont="1" applyFill="1" applyBorder="1"/>
    <xf numFmtId="0" fontId="8" fillId="3" borderId="0" xfId="0" applyFont="1" applyFill="1" applyBorder="1" applyAlignment="1">
      <alignment horizontal="center"/>
    </xf>
    <xf numFmtId="0" fontId="7" fillId="3" borderId="0" xfId="0" applyNumberFormat="1" applyFont="1" applyFill="1" applyBorder="1" applyAlignment="1"/>
    <xf numFmtId="0" fontId="7" fillId="7" borderId="1" xfId="0" applyFont="1" applyFill="1" applyBorder="1"/>
    <xf numFmtId="0" fontId="7" fillId="7" borderId="2" xfId="0" applyFont="1" applyFill="1" applyBorder="1"/>
    <xf numFmtId="0" fontId="7" fillId="7" borderId="2" xfId="0" applyFont="1" applyFill="1" applyBorder="1" applyAlignment="1">
      <alignment horizontal="center"/>
    </xf>
    <xf numFmtId="167" fontId="7" fillId="7" borderId="2" xfId="2" applyNumberFormat="1" applyFont="1" applyFill="1" applyBorder="1"/>
    <xf numFmtId="167" fontId="41" fillId="7" borderId="3" xfId="2" applyNumberFormat="1" applyFont="1" applyFill="1" applyBorder="1"/>
    <xf numFmtId="167" fontId="7" fillId="7" borderId="3" xfId="2" applyNumberFormat="1" applyFont="1" applyFill="1" applyBorder="1"/>
    <xf numFmtId="172" fontId="0" fillId="0" borderId="0" xfId="0" applyNumberFormat="1" applyFill="1"/>
    <xf numFmtId="172" fontId="17" fillId="0" borderId="0" xfId="9" applyNumberFormat="1" applyFont="1" applyFill="1"/>
    <xf numFmtId="167" fontId="7" fillId="0" borderId="0" xfId="2" applyNumberFormat="1" applyFont="1" applyFill="1" applyAlignment="1">
      <alignment horizontal="center"/>
    </xf>
    <xf numFmtId="177" fontId="7" fillId="0" borderId="0" xfId="2" applyNumberFormat="1" applyFont="1" applyFill="1"/>
    <xf numFmtId="168" fontId="7" fillId="0" borderId="0" xfId="2" applyNumberFormat="1" applyFont="1" applyFill="1"/>
    <xf numFmtId="173" fontId="17" fillId="0" borderId="0" xfId="2" applyNumberFormat="1" applyFont="1" applyFill="1"/>
    <xf numFmtId="167" fontId="17" fillId="0" borderId="0" xfId="2" applyNumberFormat="1" applyFont="1" applyFill="1" applyAlignment="1">
      <alignment horizontal="center" vertical="center" wrapText="1"/>
    </xf>
    <xf numFmtId="173" fontId="17" fillId="0" borderId="0" xfId="2" applyNumberFormat="1" applyFont="1" applyFill="1" applyAlignment="1">
      <alignment horizontal="center" vertical="center" wrapText="1"/>
    </xf>
    <xf numFmtId="168" fontId="20" fillId="11" borderId="0" xfId="2" applyNumberFormat="1" applyFont="1" applyFill="1" applyAlignment="1">
      <alignment horizontal="center" vertical="center" wrapText="1"/>
    </xf>
    <xf numFmtId="167" fontId="8" fillId="12" borderId="0" xfId="2" applyNumberFormat="1" applyFont="1" applyFill="1" applyAlignment="1">
      <alignment horizontal="center" vertical="center" wrapText="1"/>
    </xf>
    <xf numFmtId="177" fontId="7" fillId="12" borderId="0" xfId="2" applyNumberFormat="1" applyFont="1" applyFill="1"/>
    <xf numFmtId="0" fontId="0" fillId="12" borderId="0" xfId="0" applyFill="1"/>
    <xf numFmtId="167" fontId="7" fillId="12" borderId="1" xfId="2" applyNumberFormat="1" applyFont="1" applyFill="1" applyBorder="1"/>
    <xf numFmtId="0" fontId="7" fillId="12" borderId="2" xfId="0" applyFont="1" applyFill="1" applyBorder="1"/>
    <xf numFmtId="0" fontId="0" fillId="12" borderId="2" xfId="0" applyFill="1" applyBorder="1"/>
    <xf numFmtId="0" fontId="0" fillId="12" borderId="3" xfId="0" applyFill="1" applyBorder="1"/>
    <xf numFmtId="0" fontId="7" fillId="13" borderId="0" xfId="0" applyFont="1" applyFill="1"/>
    <xf numFmtId="167" fontId="7" fillId="13" borderId="0" xfId="2" applyNumberFormat="1" applyFont="1" applyFill="1" applyAlignment="1">
      <alignment horizontal="center"/>
    </xf>
    <xf numFmtId="167" fontId="15" fillId="13" borderId="0" xfId="2" applyNumberFormat="1" applyFont="1" applyFill="1"/>
    <xf numFmtId="167" fontId="7" fillId="13" borderId="0" xfId="2" applyNumberFormat="1" applyFont="1" applyFill="1"/>
    <xf numFmtId="167" fontId="42" fillId="0" borderId="0" xfId="2" applyNumberFormat="1" applyFont="1" applyFill="1" applyAlignment="1">
      <alignment vertical="center"/>
    </xf>
    <xf numFmtId="0" fontId="16" fillId="7" borderId="0" xfId="0" applyFont="1" applyFill="1" applyAlignment="1">
      <alignment horizontal="center"/>
    </xf>
    <xf numFmtId="170" fontId="7" fillId="0" borderId="0" xfId="2" applyNumberFormat="1" applyFont="1" applyFill="1"/>
    <xf numFmtId="175" fontId="0" fillId="0" borderId="0" xfId="0" applyNumberFormat="1" applyFill="1"/>
    <xf numFmtId="0" fontId="16" fillId="13" borderId="0" xfId="0" applyFont="1" applyFill="1" applyAlignment="1">
      <alignment horizontal="center"/>
    </xf>
    <xf numFmtId="0" fontId="7" fillId="0" borderId="0" xfId="0" applyFont="1" applyFill="1" applyBorder="1" applyAlignment="1"/>
    <xf numFmtId="0" fontId="7" fillId="0" borderId="0" xfId="0" applyNumberFormat="1" applyFont="1" applyFill="1" applyBorder="1" applyAlignment="1"/>
    <xf numFmtId="166" fontId="0" fillId="0" borderId="0" xfId="2" applyFont="1" applyBorder="1"/>
    <xf numFmtId="166" fontId="0" fillId="0" borderId="0" xfId="0" applyNumberFormat="1" applyBorder="1"/>
    <xf numFmtId="0" fontId="7" fillId="13" borderId="0" xfId="0" applyFont="1" applyFill="1" applyAlignment="1">
      <alignment horizontal="center"/>
    </xf>
    <xf numFmtId="0" fontId="7" fillId="12" borderId="0" xfId="0" applyFont="1" applyFill="1" applyAlignment="1">
      <alignment horizontal="center"/>
    </xf>
    <xf numFmtId="0" fontId="7" fillId="3" borderId="4" xfId="0" applyFont="1" applyFill="1" applyBorder="1" applyAlignment="1">
      <alignment horizontal="center"/>
    </xf>
    <xf numFmtId="0" fontId="7" fillId="3" borderId="0" xfId="0" applyFont="1" applyFill="1" applyBorder="1" applyAlignment="1">
      <alignment horizontal="center"/>
    </xf>
    <xf numFmtId="0" fontId="7" fillId="3" borderId="0" xfId="0" applyFont="1" applyFill="1" applyBorder="1" applyAlignment="1"/>
    <xf numFmtId="0" fontId="7" fillId="3" borderId="0" xfId="0" applyFont="1" applyFill="1" applyAlignment="1">
      <alignment horizontal="center"/>
    </xf>
    <xf numFmtId="0" fontId="7" fillId="0" borderId="1" xfId="0" applyFont="1" applyFill="1" applyBorder="1" applyAlignment="1">
      <alignment horizontal="center" vertical="center"/>
    </xf>
    <xf numFmtId="0" fontId="43" fillId="0" borderId="0" xfId="0" applyFont="1"/>
    <xf numFmtId="0" fontId="43" fillId="0" borderId="0" xfId="0" applyFont="1" applyAlignment="1">
      <alignment vertical="center"/>
    </xf>
    <xf numFmtId="179" fontId="17" fillId="0" borderId="0" xfId="2" applyNumberFormat="1" applyFont="1" applyFill="1" applyAlignment="1">
      <alignment vertical="center"/>
    </xf>
    <xf numFmtId="0" fontId="44" fillId="0" borderId="0" xfId="0" applyFont="1" applyBorder="1" applyAlignment="1">
      <alignment horizontal="center" vertical="center" wrapText="1"/>
    </xf>
    <xf numFmtId="0" fontId="7" fillId="0" borderId="10" xfId="0" applyFont="1" applyBorder="1" applyAlignment="1">
      <alignment horizontal="center" vertical="center" wrapText="1"/>
    </xf>
    <xf numFmtId="0" fontId="6" fillId="0" borderId="0" xfId="0" applyFont="1"/>
    <xf numFmtId="9" fontId="6" fillId="0" borderId="0" xfId="9" applyFont="1"/>
    <xf numFmtId="167" fontId="6" fillId="0" borderId="0" xfId="2" applyNumberFormat="1" applyFont="1"/>
    <xf numFmtId="49" fontId="7" fillId="2" borderId="5" xfId="2" applyNumberFormat="1" applyFont="1" applyFill="1" applyBorder="1" applyAlignment="1">
      <alignment horizontal="center" vertical="center" wrapText="1"/>
    </xf>
    <xf numFmtId="173" fontId="8" fillId="0" borderId="5" xfId="2" applyNumberFormat="1" applyFont="1" applyFill="1" applyBorder="1" applyAlignment="1">
      <alignment vertical="center"/>
    </xf>
    <xf numFmtId="166" fontId="8" fillId="0" borderId="5" xfId="2" applyFont="1" applyFill="1" applyBorder="1" applyAlignment="1">
      <alignment vertical="center"/>
    </xf>
    <xf numFmtId="9" fontId="8" fillId="0" borderId="5" xfId="9" applyFont="1" applyFill="1" applyBorder="1" applyAlignment="1">
      <alignment vertical="center"/>
    </xf>
    <xf numFmtId="10" fontId="8" fillId="0" borderId="5" xfId="9" applyNumberFormat="1" applyFont="1" applyFill="1" applyBorder="1" applyAlignment="1">
      <alignment vertical="center"/>
    </xf>
    <xf numFmtId="167" fontId="7" fillId="15" borderId="0" xfId="2" applyNumberFormat="1" applyFont="1" applyFill="1"/>
    <xf numFmtId="10" fontId="45" fillId="16" borderId="10" xfId="2" applyNumberFormat="1" applyFont="1" applyFill="1" applyBorder="1" applyAlignment="1">
      <alignment vertical="center"/>
    </xf>
    <xf numFmtId="10" fontId="7" fillId="8" borderId="2" xfId="9" applyNumberFormat="1" applyFont="1" applyFill="1" applyBorder="1" applyAlignment="1">
      <alignment vertical="center"/>
    </xf>
    <xf numFmtId="10" fontId="0" fillId="0" borderId="0" xfId="9" applyNumberFormat="1" applyFont="1" applyAlignment="1">
      <alignment vertical="center"/>
    </xf>
    <xf numFmtId="10" fontId="42" fillId="0" borderId="0" xfId="9" applyNumberFormat="1" applyFont="1" applyFill="1" applyAlignment="1">
      <alignment vertical="center"/>
    </xf>
    <xf numFmtId="10" fontId="7" fillId="0" borderId="0" xfId="9" applyNumberFormat="1" applyFont="1" applyAlignment="1">
      <alignment vertical="center"/>
    </xf>
    <xf numFmtId="165" fontId="0" fillId="0" borderId="0" xfId="4" applyFont="1"/>
    <xf numFmtId="170" fontId="10" fillId="0" borderId="0" xfId="0" applyNumberFormat="1" applyFont="1"/>
    <xf numFmtId="166" fontId="0" fillId="0" borderId="0" xfId="2" applyFont="1" applyAlignment="1">
      <alignment horizontal="center"/>
    </xf>
    <xf numFmtId="165" fontId="0" fillId="0" borderId="0" xfId="0" applyNumberFormat="1"/>
    <xf numFmtId="10" fontId="45" fillId="17" borderId="10" xfId="2" applyNumberFormat="1" applyFont="1" applyFill="1" applyBorder="1" applyAlignment="1">
      <alignment vertical="center"/>
    </xf>
    <xf numFmtId="0" fontId="0" fillId="0" borderId="7" xfId="0" applyBorder="1"/>
    <xf numFmtId="0" fontId="0" fillId="0" borderId="8" xfId="0" applyBorder="1"/>
    <xf numFmtId="0" fontId="0" fillId="0" borderId="11" xfId="0" applyBorder="1"/>
    <xf numFmtId="0" fontId="0" fillId="0" borderId="0" xfId="0" applyBorder="1"/>
    <xf numFmtId="165" fontId="0" fillId="0" borderId="0" xfId="4" applyFont="1" applyBorder="1" applyAlignment="1">
      <alignment horizontal="center" vertical="center"/>
    </xf>
    <xf numFmtId="165" fontId="0" fillId="0" borderId="4" xfId="4" applyFont="1" applyBorder="1" applyAlignment="1">
      <alignment horizontal="center" vertical="center"/>
    </xf>
    <xf numFmtId="0" fontId="8" fillId="0" borderId="0" xfId="0" applyFont="1" applyAlignment="1">
      <alignment horizontal="center" vertical="center" wrapText="1"/>
    </xf>
    <xf numFmtId="167" fontId="0" fillId="0" borderId="0" xfId="2" applyNumberFormat="1" applyFont="1" applyBorder="1"/>
    <xf numFmtId="0" fontId="7" fillId="15" borderId="10" xfId="0" applyFont="1" applyFill="1" applyBorder="1" applyAlignment="1">
      <alignment horizontal="center" vertical="center" wrapText="1"/>
    </xf>
    <xf numFmtId="170" fontId="43" fillId="0" borderId="0" xfId="0" applyNumberFormat="1" applyFont="1"/>
    <xf numFmtId="0" fontId="5" fillId="0" borderId="0" xfId="0" applyFont="1"/>
    <xf numFmtId="0" fontId="47" fillId="0" borderId="0" xfId="0" applyFont="1"/>
    <xf numFmtId="0" fontId="44" fillId="0" borderId="0" xfId="0" applyFont="1"/>
    <xf numFmtId="0" fontId="44" fillId="0" borderId="0" xfId="0" applyFont="1" applyBorder="1"/>
    <xf numFmtId="0" fontId="44" fillId="0" borderId="12" xfId="0" applyFont="1" applyBorder="1"/>
    <xf numFmtId="0" fontId="44" fillId="0" borderId="0" xfId="0" applyFont="1" applyAlignment="1">
      <alignment horizontal="center"/>
    </xf>
    <xf numFmtId="169" fontId="44" fillId="0" borderId="0" xfId="0" applyNumberFormat="1" applyFont="1"/>
    <xf numFmtId="174" fontId="44" fillId="0" borderId="0" xfId="2" applyNumberFormat="1" applyFont="1"/>
    <xf numFmtId="0" fontId="49" fillId="0" borderId="0" xfId="0" applyFont="1"/>
    <xf numFmtId="0" fontId="50" fillId="8" borderId="5" xfId="0" applyFont="1" applyFill="1" applyBorder="1" applyAlignment="1">
      <alignment horizontal="center"/>
    </xf>
    <xf numFmtId="3" fontId="51" fillId="0" borderId="12" xfId="0" applyNumberFormat="1" applyFont="1" applyFill="1" applyBorder="1"/>
    <xf numFmtId="167" fontId="44" fillId="0" borderId="0" xfId="2" applyNumberFormat="1" applyFont="1"/>
    <xf numFmtId="0" fontId="49" fillId="0" borderId="1" xfId="0" applyFont="1" applyBorder="1" applyAlignment="1">
      <alignment horizontal="center" vertical="center"/>
    </xf>
    <xf numFmtId="0" fontId="52" fillId="19" borderId="1" xfId="0" applyFont="1" applyFill="1" applyBorder="1" applyAlignment="1">
      <alignment horizontal="center" vertical="center"/>
    </xf>
    <xf numFmtId="165" fontId="44" fillId="0" borderId="0" xfId="4" applyFont="1"/>
    <xf numFmtId="9" fontId="44" fillId="0" borderId="0" xfId="9" applyFont="1"/>
    <xf numFmtId="166" fontId="44" fillId="0" borderId="0" xfId="2" applyFont="1"/>
    <xf numFmtId="0" fontId="47" fillId="0" borderId="0" xfId="0" applyFont="1" applyAlignment="1">
      <alignment horizontal="center"/>
    </xf>
    <xf numFmtId="0" fontId="48" fillId="0" borderId="5" xfId="0" applyFont="1" applyBorder="1"/>
    <xf numFmtId="165" fontId="44" fillId="0" borderId="0" xfId="0" applyNumberFormat="1" applyFont="1"/>
    <xf numFmtId="180" fontId="49" fillId="0" borderId="3" xfId="4" applyNumberFormat="1" applyFont="1" applyBorder="1"/>
    <xf numFmtId="167" fontId="44" fillId="0" borderId="0" xfId="0" applyNumberFormat="1" applyFont="1"/>
    <xf numFmtId="0" fontId="44" fillId="0" borderId="16" xfId="0" applyFont="1" applyBorder="1"/>
    <xf numFmtId="167" fontId="44" fillId="0" borderId="0" xfId="0" applyNumberFormat="1" applyFont="1" applyBorder="1"/>
    <xf numFmtId="0" fontId="49" fillId="0" borderId="6" xfId="0" applyFont="1" applyBorder="1" applyAlignment="1">
      <alignment horizontal="center" vertical="center"/>
    </xf>
    <xf numFmtId="180" fontId="49" fillId="0" borderId="13" xfId="4" applyNumberFormat="1" applyFont="1" applyBorder="1"/>
    <xf numFmtId="0" fontId="49" fillId="0" borderId="4" xfId="0" applyFont="1" applyBorder="1"/>
    <xf numFmtId="170" fontId="44" fillId="0" borderId="0" xfId="0" applyNumberFormat="1" applyFont="1"/>
    <xf numFmtId="0" fontId="44" fillId="20" borderId="0" xfId="0" applyFont="1" applyFill="1"/>
    <xf numFmtId="0" fontId="54" fillId="20" borderId="0" xfId="0" applyFont="1" applyFill="1"/>
    <xf numFmtId="0" fontId="54" fillId="0" borderId="0" xfId="0" applyFont="1"/>
    <xf numFmtId="0" fontId="48" fillId="0" borderId="0" xfId="0" applyFont="1"/>
    <xf numFmtId="0" fontId="47" fillId="0" borderId="0" xfId="0" applyFont="1" applyAlignment="1">
      <alignment horizontal="left"/>
    </xf>
    <xf numFmtId="0" fontId="44" fillId="0" borderId="0" xfId="0" quotePrefix="1" applyFont="1"/>
    <xf numFmtId="14" fontId="44" fillId="0" borderId="0" xfId="0" applyNumberFormat="1" applyFont="1" applyAlignment="1"/>
    <xf numFmtId="167" fontId="44" fillId="0" borderId="0" xfId="2" applyNumberFormat="1" applyFont="1" applyAlignment="1">
      <alignment horizontal="center"/>
    </xf>
    <xf numFmtId="14" fontId="44" fillId="0" borderId="0" xfId="0" applyNumberFormat="1" applyFont="1"/>
    <xf numFmtId="166" fontId="44" fillId="0" borderId="0" xfId="2" applyNumberFormat="1" applyFont="1" applyAlignment="1">
      <alignment horizontal="center"/>
    </xf>
    <xf numFmtId="0" fontId="44" fillId="0" borderId="0" xfId="0" applyFont="1" applyAlignment="1"/>
    <xf numFmtId="166" fontId="44" fillId="0" borderId="0" xfId="0" applyNumberFormat="1" applyFont="1"/>
    <xf numFmtId="10" fontId="49" fillId="0" borderId="5" xfId="9" applyNumberFormat="1" applyFont="1" applyBorder="1"/>
    <xf numFmtId="0" fontId="44" fillId="15" borderId="0" xfId="0" applyFont="1" applyFill="1"/>
    <xf numFmtId="0" fontId="54" fillId="15" borderId="0" xfId="0" applyFont="1" applyFill="1"/>
    <xf numFmtId="10" fontId="49" fillId="0" borderId="0" xfId="9" applyNumberFormat="1" applyFont="1" applyBorder="1"/>
    <xf numFmtId="0" fontId="44" fillId="18" borderId="0" xfId="0" applyFont="1" applyFill="1"/>
    <xf numFmtId="0" fontId="54" fillId="18" borderId="0" xfId="0" applyFont="1" applyFill="1"/>
    <xf numFmtId="165" fontId="49" fillId="0" borderId="0" xfId="0" applyNumberFormat="1" applyFont="1"/>
    <xf numFmtId="0" fontId="44" fillId="3" borderId="0" xfId="0" applyFont="1" applyFill="1"/>
    <xf numFmtId="0" fontId="54" fillId="3" borderId="0" xfId="0" applyFont="1" applyFill="1"/>
    <xf numFmtId="0" fontId="44" fillId="0" borderId="0" xfId="0" applyFont="1" applyFill="1" applyBorder="1"/>
    <xf numFmtId="17" fontId="49" fillId="0" borderId="0" xfId="0" applyNumberFormat="1" applyFont="1" applyBorder="1" applyAlignment="1">
      <alignment horizontal="center" vertical="center"/>
    </xf>
    <xf numFmtId="17" fontId="49" fillId="0" borderId="15" xfId="0" applyNumberFormat="1" applyFont="1" applyBorder="1" applyAlignment="1">
      <alignment horizontal="center" vertical="center"/>
    </xf>
    <xf numFmtId="180" fontId="49" fillId="0" borderId="5" xfId="4" applyNumberFormat="1" applyFont="1" applyBorder="1"/>
    <xf numFmtId="0" fontId="44" fillId="20" borderId="0" xfId="0" applyFont="1" applyFill="1" applyAlignment="1">
      <alignment horizontal="center"/>
    </xf>
    <xf numFmtId="0" fontId="44" fillId="15" borderId="0" xfId="0" applyFont="1" applyFill="1" applyAlignment="1">
      <alignment horizontal="center"/>
    </xf>
    <xf numFmtId="0" fontId="44" fillId="18" borderId="0" xfId="0" applyFont="1" applyFill="1" applyAlignment="1">
      <alignment horizontal="center"/>
    </xf>
    <xf numFmtId="0" fontId="44" fillId="3" borderId="0" xfId="0" applyFont="1" applyFill="1" applyAlignment="1">
      <alignment horizontal="center"/>
    </xf>
    <xf numFmtId="169" fontId="44" fillId="21" borderId="0" xfId="0" applyNumberFormat="1" applyFont="1" applyFill="1"/>
    <xf numFmtId="0" fontId="44" fillId="21" borderId="0" xfId="0" applyFont="1" applyFill="1" applyAlignment="1">
      <alignment horizontal="center"/>
    </xf>
    <xf numFmtId="167" fontId="44" fillId="21" borderId="0" xfId="0" applyNumberFormat="1" applyFont="1" applyFill="1"/>
    <xf numFmtId="166" fontId="55" fillId="0" borderId="0" xfId="2" applyFont="1" applyAlignment="1">
      <alignment horizontal="right"/>
    </xf>
    <xf numFmtId="166" fontId="56" fillId="0" borderId="0" xfId="0" applyNumberFormat="1" applyFont="1" applyAlignment="1">
      <alignment horizontal="right"/>
    </xf>
    <xf numFmtId="0" fontId="57" fillId="0" borderId="0" xfId="0" applyFont="1"/>
    <xf numFmtId="0" fontId="40" fillId="0" borderId="0" xfId="0" applyFont="1" applyFill="1" applyAlignment="1">
      <alignment vertical="center"/>
    </xf>
    <xf numFmtId="0" fontId="58" fillId="0" borderId="0" xfId="0" applyFont="1"/>
    <xf numFmtId="0" fontId="58" fillId="0" borderId="0" xfId="0" applyFont="1" applyBorder="1"/>
    <xf numFmtId="0" fontId="59" fillId="0" borderId="0" xfId="0" applyFont="1" applyAlignment="1">
      <alignment horizontal="center"/>
    </xf>
    <xf numFmtId="0" fontId="59" fillId="0" borderId="2" xfId="0" applyFont="1" applyBorder="1"/>
    <xf numFmtId="0" fontId="58" fillId="0" borderId="0" xfId="0" applyFont="1" applyAlignment="1">
      <alignment horizontal="center"/>
    </xf>
    <xf numFmtId="0" fontId="60" fillId="0" borderId="0" xfId="0" applyFont="1" applyAlignment="1">
      <alignment horizontal="right"/>
    </xf>
    <xf numFmtId="165" fontId="58" fillId="0" borderId="0" xfId="4" applyFont="1"/>
    <xf numFmtId="0" fontId="61" fillId="21" borderId="5" xfId="0" applyFont="1" applyFill="1" applyBorder="1" applyAlignment="1">
      <alignment horizontal="center" vertical="center"/>
    </xf>
    <xf numFmtId="0" fontId="61" fillId="21" borderId="5" xfId="0" applyFont="1" applyFill="1" applyBorder="1" applyAlignment="1">
      <alignment vertical="center"/>
    </xf>
    <xf numFmtId="170" fontId="62" fillId="0" borderId="0" xfId="0" applyNumberFormat="1" applyFont="1" applyAlignment="1">
      <alignment horizontal="center"/>
    </xf>
    <xf numFmtId="0" fontId="62" fillId="0" borderId="0" xfId="0" applyFont="1"/>
    <xf numFmtId="170" fontId="62" fillId="0" borderId="0" xfId="0" applyNumberFormat="1" applyFont="1"/>
    <xf numFmtId="0" fontId="7" fillId="3" borderId="10" xfId="0" applyFont="1" applyFill="1" applyBorder="1" applyAlignment="1">
      <alignment horizontal="center" vertical="center" wrapText="1"/>
    </xf>
    <xf numFmtId="0" fontId="7" fillId="21" borderId="10" xfId="0" applyFont="1" applyFill="1" applyBorder="1" applyAlignment="1">
      <alignment horizontal="center" vertical="center" wrapText="1"/>
    </xf>
    <xf numFmtId="10" fontId="17" fillId="0" borderId="0" xfId="9" applyNumberFormat="1" applyFont="1" applyFill="1" applyAlignment="1">
      <alignment vertical="center"/>
    </xf>
    <xf numFmtId="170" fontId="63" fillId="0" borderId="0" xfId="0" applyNumberFormat="1" applyFont="1"/>
    <xf numFmtId="0" fontId="40" fillId="0" borderId="0" xfId="0" applyFont="1"/>
    <xf numFmtId="10" fontId="43" fillId="0" borderId="0" xfId="9" applyNumberFormat="1" applyFont="1"/>
    <xf numFmtId="167" fontId="46" fillId="0" borderId="0" xfId="2" applyNumberFormat="1" applyFont="1" applyFill="1" applyAlignment="1">
      <alignment vertical="center"/>
    </xf>
    <xf numFmtId="0" fontId="50" fillId="8" borderId="1" xfId="0" applyFont="1" applyFill="1" applyBorder="1" applyAlignment="1">
      <alignment horizontal="center"/>
    </xf>
    <xf numFmtId="0" fontId="50" fillId="8" borderId="3" xfId="0" applyFont="1" applyFill="1" applyBorder="1" applyAlignment="1">
      <alignment horizontal="center"/>
    </xf>
    <xf numFmtId="0" fontId="21" fillId="2" borderId="4" xfId="5" applyFont="1" applyFill="1" applyBorder="1" applyAlignment="1" applyProtection="1">
      <alignment vertical="center"/>
    </xf>
    <xf numFmtId="0" fontId="5" fillId="0" borderId="0" xfId="5"/>
    <xf numFmtId="0" fontId="5" fillId="0" borderId="0" xfId="5" applyFill="1" applyBorder="1"/>
    <xf numFmtId="0" fontId="5" fillId="0" borderId="0" xfId="5" applyFill="1"/>
    <xf numFmtId="0" fontId="27" fillId="0" borderId="0" xfId="5" applyFont="1" applyFill="1" applyBorder="1"/>
    <xf numFmtId="0" fontId="29" fillId="0" borderId="0" xfId="5" applyFont="1" applyAlignment="1">
      <alignment vertical="center"/>
    </xf>
    <xf numFmtId="0" fontId="5" fillId="0" borderId="0" xfId="5" applyAlignment="1">
      <alignment vertical="center"/>
    </xf>
    <xf numFmtId="0" fontId="30" fillId="2" borderId="17" xfId="5" applyFont="1" applyFill="1" applyBorder="1" applyAlignment="1">
      <alignment horizontal="center" vertical="center"/>
    </xf>
    <xf numFmtId="0" fontId="30" fillId="2" borderId="0" xfId="5" applyFont="1" applyFill="1" applyBorder="1" applyAlignment="1">
      <alignment horizontal="center" vertical="center"/>
    </xf>
    <xf numFmtId="183" fontId="30" fillId="0" borderId="18" xfId="5" applyNumberFormat="1" applyFont="1" applyBorder="1" applyAlignment="1">
      <alignment horizontal="center" vertical="center"/>
    </xf>
    <xf numFmtId="0" fontId="30" fillId="10" borderId="17" xfId="5" applyFont="1" applyFill="1" applyBorder="1" applyAlignment="1">
      <alignment horizontal="center" vertical="center"/>
    </xf>
    <xf numFmtId="183" fontId="30" fillId="10" borderId="18" xfId="5" applyNumberFormat="1" applyFont="1" applyFill="1" applyBorder="1" applyAlignment="1">
      <alignment horizontal="center" vertical="center"/>
    </xf>
    <xf numFmtId="183" fontId="30" fillId="0" borderId="18" xfId="5" applyNumberFormat="1" applyFont="1" applyFill="1" applyBorder="1" applyAlignment="1">
      <alignment horizontal="center" vertical="center"/>
    </xf>
    <xf numFmtId="0" fontId="31" fillId="0" borderId="0" xfId="5" applyFont="1" applyAlignment="1">
      <alignment vertical="center"/>
    </xf>
    <xf numFmtId="0" fontId="23" fillId="0" borderId="0" xfId="1" applyFont="1" applyAlignment="1" applyProtection="1">
      <alignment vertical="center"/>
    </xf>
    <xf numFmtId="0" fontId="6" fillId="0" borderId="0" xfId="5" applyFont="1" applyAlignment="1">
      <alignment horizontal="right" vertical="center"/>
    </xf>
    <xf numFmtId="183" fontId="64" fillId="20" borderId="18" xfId="5" applyNumberFormat="1" applyFont="1" applyFill="1" applyBorder="1" applyAlignment="1">
      <alignment horizontal="center" vertical="center"/>
    </xf>
    <xf numFmtId="0" fontId="64" fillId="23" borderId="17" xfId="5" applyFont="1" applyFill="1" applyBorder="1" applyAlignment="1">
      <alignment horizontal="center" vertical="center"/>
    </xf>
    <xf numFmtId="183" fontId="64" fillId="23" borderId="18" xfId="5" applyNumberFormat="1" applyFont="1" applyFill="1" applyBorder="1" applyAlignment="1">
      <alignment horizontal="center" vertical="center"/>
    </xf>
    <xf numFmtId="183" fontId="65" fillId="3" borderId="18" xfId="5" applyNumberFormat="1" applyFont="1" applyFill="1" applyBorder="1" applyAlignment="1">
      <alignment horizontal="center" vertical="center"/>
    </xf>
    <xf numFmtId="0" fontId="5" fillId="0" borderId="0" xfId="0" applyFont="1" applyAlignment="1">
      <alignment horizontal="center" vertical="center"/>
    </xf>
    <xf numFmtId="167" fontId="5" fillId="0" borderId="3" xfId="2" applyNumberFormat="1" applyFont="1" applyFill="1" applyBorder="1" applyAlignment="1">
      <alignment vertical="center"/>
    </xf>
    <xf numFmtId="0" fontId="7" fillId="2" borderId="0" xfId="0" applyFont="1" applyFill="1" applyBorder="1" applyAlignment="1">
      <alignment horizontal="left" vertical="center"/>
    </xf>
    <xf numFmtId="167" fontId="5" fillId="0" borderId="0" xfId="2" applyNumberFormat="1" applyFont="1" applyFill="1" applyBorder="1" applyAlignment="1">
      <alignment horizontal="left" vertical="center"/>
    </xf>
    <xf numFmtId="167" fontId="0" fillId="0" borderId="0" xfId="2" applyNumberFormat="1" applyFont="1" applyAlignment="1">
      <alignment horizontal="left"/>
    </xf>
    <xf numFmtId="167" fontId="40" fillId="0" borderId="0" xfId="2" applyNumberFormat="1" applyFont="1" applyAlignment="1">
      <alignment horizontal="left"/>
    </xf>
    <xf numFmtId="173" fontId="5" fillId="0" borderId="0" xfId="2" applyNumberFormat="1" applyFont="1" applyFill="1" applyBorder="1" applyAlignment="1">
      <alignment horizontal="left" vertical="center"/>
    </xf>
    <xf numFmtId="0" fontId="5" fillId="0" borderId="0" xfId="0" applyFont="1" applyFill="1" applyAlignment="1">
      <alignment vertical="center"/>
    </xf>
    <xf numFmtId="173" fontId="8" fillId="0" borderId="5" xfId="2" quotePrefix="1" applyNumberFormat="1" applyFont="1" applyFill="1" applyBorder="1" applyAlignment="1">
      <alignment vertical="center"/>
    </xf>
    <xf numFmtId="0" fontId="8" fillId="0" borderId="0" xfId="0" applyFont="1" applyFill="1" applyAlignment="1">
      <alignment vertical="center"/>
    </xf>
    <xf numFmtId="0" fontId="53" fillId="0" borderId="0" xfId="0" applyFont="1" applyFill="1" applyAlignment="1">
      <alignment vertical="center"/>
    </xf>
    <xf numFmtId="167" fontId="53" fillId="0" borderId="5" xfId="2" applyNumberFormat="1" applyFont="1" applyFill="1" applyBorder="1" applyAlignment="1">
      <alignment vertical="center"/>
    </xf>
    <xf numFmtId="0" fontId="39" fillId="0" borderId="0" xfId="6" applyFont="1"/>
    <xf numFmtId="166" fontId="0" fillId="0" borderId="0" xfId="3" applyFont="1"/>
    <xf numFmtId="0" fontId="38" fillId="0" borderId="0" xfId="6"/>
    <xf numFmtId="0" fontId="38" fillId="0" borderId="0" xfId="6" applyAlignment="1">
      <alignment horizontal="center"/>
    </xf>
    <xf numFmtId="17" fontId="38" fillId="0" borderId="0" xfId="6" applyNumberFormat="1" applyAlignment="1">
      <alignment horizontal="center"/>
    </xf>
    <xf numFmtId="174" fontId="0" fillId="0" borderId="0" xfId="3" applyNumberFormat="1" applyFont="1"/>
    <xf numFmtId="17" fontId="66" fillId="0" borderId="0" xfId="6" applyNumberFormat="1" applyFont="1" applyAlignment="1">
      <alignment horizontal="center"/>
    </xf>
    <xf numFmtId="174" fontId="66" fillId="0" borderId="0" xfId="3" applyNumberFormat="1" applyFont="1"/>
    <xf numFmtId="0" fontId="66" fillId="0" borderId="0" xfId="6" applyFont="1"/>
    <xf numFmtId="174" fontId="39" fillId="24" borderId="5" xfId="3" applyNumberFormat="1" applyFont="1" applyFill="1" applyBorder="1"/>
    <xf numFmtId="10" fontId="0" fillId="0" borderId="0" xfId="10" applyNumberFormat="1" applyFont="1"/>
    <xf numFmtId="166" fontId="32" fillId="0" borderId="0" xfId="3" applyFont="1" applyAlignment="1">
      <alignment horizontal="center"/>
    </xf>
    <xf numFmtId="0" fontId="67" fillId="0" borderId="0" xfId="6" applyFont="1"/>
    <xf numFmtId="0" fontId="67" fillId="0" borderId="0" xfId="6" applyFont="1" applyAlignment="1">
      <alignment horizontal="center"/>
    </xf>
    <xf numFmtId="0" fontId="50" fillId="8" borderId="6" xfId="0" applyFont="1" applyFill="1" applyBorder="1" applyAlignment="1">
      <alignment horizontal="center"/>
    </xf>
    <xf numFmtId="0" fontId="50" fillId="8" borderId="13" xfId="0" applyFont="1" applyFill="1" applyBorder="1" applyAlignment="1">
      <alignment horizontal="center"/>
    </xf>
    <xf numFmtId="3" fontId="0" fillId="0" borderId="9" xfId="0" applyNumberFormat="1" applyBorder="1"/>
    <xf numFmtId="3" fontId="0" fillId="0" borderId="0" xfId="0" applyNumberFormat="1" applyBorder="1"/>
    <xf numFmtId="3" fontId="0" fillId="0" borderId="12" xfId="0" applyNumberFormat="1" applyBorder="1"/>
    <xf numFmtId="3" fontId="39" fillId="0" borderId="9" xfId="0" applyNumberFormat="1" applyFont="1" applyBorder="1"/>
    <xf numFmtId="3" fontId="39" fillId="0" borderId="0" xfId="0" applyNumberFormat="1" applyFont="1" applyBorder="1"/>
    <xf numFmtId="3" fontId="39" fillId="0" borderId="12" xfId="0" applyNumberFormat="1" applyFont="1" applyBorder="1"/>
    <xf numFmtId="171" fontId="39" fillId="3" borderId="6" xfId="10" applyNumberFormat="1" applyFont="1" applyFill="1" applyBorder="1" applyAlignment="1">
      <alignment horizontal="left"/>
    </xf>
    <xf numFmtId="3" fontId="39" fillId="3" borderId="4" xfId="10" applyNumberFormat="1" applyFont="1" applyFill="1" applyBorder="1" applyAlignment="1">
      <alignment horizontal="center"/>
    </xf>
    <xf numFmtId="3" fontId="39" fillId="3" borderId="13" xfId="10" applyNumberFormat="1" applyFont="1" applyFill="1" applyBorder="1" applyAlignment="1">
      <alignment horizontal="center"/>
    </xf>
    <xf numFmtId="10" fontId="38" fillId="0" borderId="0" xfId="9" applyNumberFormat="1" applyFont="1"/>
    <xf numFmtId="167" fontId="39" fillId="3" borderId="4" xfId="2" applyNumberFormat="1" applyFont="1" applyFill="1" applyBorder="1" applyAlignment="1">
      <alignment horizontal="center"/>
    </xf>
    <xf numFmtId="167" fontId="39" fillId="3" borderId="13" xfId="2" applyNumberFormat="1" applyFont="1" applyFill="1" applyBorder="1" applyAlignment="1">
      <alignment horizontal="center"/>
    </xf>
    <xf numFmtId="0" fontId="39" fillId="22" borderId="0" xfId="6" applyFont="1" applyFill="1"/>
    <xf numFmtId="166" fontId="50" fillId="22" borderId="0" xfId="3" applyFont="1" applyFill="1"/>
    <xf numFmtId="0" fontId="50" fillId="8" borderId="14" xfId="0" applyFont="1" applyFill="1" applyBorder="1" applyAlignment="1">
      <alignment horizontal="center"/>
    </xf>
    <xf numFmtId="3" fontId="39" fillId="3" borderId="12" xfId="0" applyNumberFormat="1" applyFont="1" applyFill="1" applyBorder="1"/>
    <xf numFmtId="0" fontId="0" fillId="0" borderId="9" xfId="0" applyBorder="1"/>
    <xf numFmtId="0" fontId="0" fillId="0" borderId="12" xfId="0" applyBorder="1"/>
    <xf numFmtId="171" fontId="39" fillId="0" borderId="6" xfId="10" applyNumberFormat="1" applyFont="1" applyBorder="1" applyAlignment="1">
      <alignment horizontal="center"/>
    </xf>
    <xf numFmtId="171" fontId="39" fillId="0" borderId="4" xfId="10" applyNumberFormat="1" applyFont="1" applyBorder="1" applyAlignment="1">
      <alignment horizontal="center"/>
    </xf>
    <xf numFmtId="171" fontId="39" fillId="0" borderId="13" xfId="10" applyNumberFormat="1" applyFont="1" applyBorder="1" applyAlignment="1">
      <alignment horizontal="center"/>
    </xf>
    <xf numFmtId="3" fontId="39" fillId="0" borderId="12" xfId="0" applyNumberFormat="1" applyFont="1" applyFill="1" applyBorder="1"/>
    <xf numFmtId="9" fontId="68" fillId="0" borderId="0" xfId="9" applyFont="1"/>
    <xf numFmtId="174" fontId="38" fillId="0" borderId="0" xfId="2" applyNumberFormat="1" applyFont="1" applyAlignment="1">
      <alignment horizontal="center"/>
    </xf>
    <xf numFmtId="174" fontId="38" fillId="0" borderId="0" xfId="2" applyNumberFormat="1" applyFont="1"/>
    <xf numFmtId="17" fontId="49" fillId="0" borderId="0" xfId="0" applyNumberFormat="1" applyFont="1" applyAlignment="1">
      <alignment horizontal="center"/>
    </xf>
    <xf numFmtId="0" fontId="7" fillId="4" borderId="10" xfId="0" applyFont="1" applyFill="1" applyBorder="1" applyAlignment="1">
      <alignment horizontal="center" vertical="center" wrapText="1"/>
    </xf>
    <xf numFmtId="167" fontId="7" fillId="4" borderId="1" xfId="2" applyNumberFormat="1" applyFont="1" applyFill="1" applyBorder="1" applyAlignment="1">
      <alignment vertical="center"/>
    </xf>
    <xf numFmtId="10" fontId="6" fillId="25" borderId="3" xfId="9" applyNumberFormat="1" applyFont="1" applyFill="1" applyBorder="1"/>
    <xf numFmtId="167" fontId="9" fillId="4" borderId="1" xfId="2" applyNumberFormat="1" applyFont="1" applyFill="1" applyBorder="1" applyAlignment="1">
      <alignment vertical="center"/>
    </xf>
    <xf numFmtId="167" fontId="7" fillId="22" borderId="2" xfId="2" applyNumberFormat="1" applyFont="1" applyFill="1" applyBorder="1" applyAlignment="1">
      <alignment vertical="center"/>
    </xf>
    <xf numFmtId="167" fontId="9" fillId="22" borderId="2" xfId="2" applyNumberFormat="1" applyFont="1" applyFill="1" applyBorder="1" applyAlignment="1">
      <alignment vertical="center"/>
    </xf>
    <xf numFmtId="174" fontId="0" fillId="0" borderId="0" xfId="2" applyNumberFormat="1" applyFont="1"/>
    <xf numFmtId="10" fontId="45" fillId="22" borderId="10" xfId="2" applyNumberFormat="1" applyFont="1" applyFill="1" applyBorder="1" applyAlignment="1">
      <alignment vertical="center"/>
    </xf>
    <xf numFmtId="0" fontId="45" fillId="21" borderId="19" xfId="0" applyFont="1" applyFill="1" applyBorder="1" applyAlignment="1">
      <alignment vertical="center"/>
    </xf>
    <xf numFmtId="0" fontId="45" fillId="21" borderId="20" xfId="0" applyFont="1" applyFill="1" applyBorder="1" applyAlignment="1">
      <alignment vertical="center"/>
    </xf>
    <xf numFmtId="10" fontId="45" fillId="21" borderId="21" xfId="2" applyNumberFormat="1" applyFont="1" applyFill="1" applyBorder="1" applyAlignment="1">
      <alignment vertical="center"/>
    </xf>
    <xf numFmtId="169" fontId="0" fillId="0" borderId="0" xfId="0" applyNumberFormat="1"/>
    <xf numFmtId="165" fontId="5" fillId="0" borderId="0" xfId="4" applyFont="1"/>
    <xf numFmtId="165" fontId="7" fillId="0" borderId="0" xfId="4" applyFont="1"/>
    <xf numFmtId="0" fontId="5" fillId="0" borderId="0" xfId="0" applyFont="1" applyFill="1" applyAlignment="1">
      <alignment horizontal="left" vertical="center"/>
    </xf>
    <xf numFmtId="0" fontId="8" fillId="0" borderId="0" xfId="0" applyFont="1" applyFill="1" applyAlignment="1">
      <alignment horizontal="center" vertical="center"/>
    </xf>
    <xf numFmtId="0" fontId="5" fillId="0" borderId="0" xfId="0" applyFont="1" applyFill="1" applyAlignment="1">
      <alignment horizontal="center" vertical="center"/>
    </xf>
    <xf numFmtId="10" fontId="6" fillId="0" borderId="0" xfId="9" applyNumberFormat="1" applyFont="1" applyAlignment="1">
      <alignment vertical="center"/>
    </xf>
    <xf numFmtId="0" fontId="7" fillId="22" borderId="10" xfId="0" applyFont="1" applyFill="1" applyBorder="1" applyAlignment="1">
      <alignment horizontal="center" vertical="center" wrapText="1"/>
    </xf>
    <xf numFmtId="167" fontId="7" fillId="3" borderId="2" xfId="2" applyNumberFormat="1" applyFont="1" applyFill="1" applyBorder="1" applyAlignment="1">
      <alignment vertical="center"/>
    </xf>
    <xf numFmtId="167" fontId="9" fillId="3" borderId="2" xfId="2" applyNumberFormat="1" applyFont="1" applyFill="1" applyBorder="1" applyAlignment="1">
      <alignment vertical="center"/>
    </xf>
    <xf numFmtId="0" fontId="7" fillId="22" borderId="0" xfId="0" applyFont="1" applyFill="1" applyBorder="1" applyAlignment="1">
      <alignment horizontal="center" vertical="center" wrapText="1"/>
    </xf>
    <xf numFmtId="167" fontId="7" fillId="22" borderId="0" xfId="2" applyNumberFormat="1" applyFont="1" applyFill="1" applyBorder="1" applyAlignment="1">
      <alignment vertical="center"/>
    </xf>
    <xf numFmtId="167" fontId="9" fillId="22" borderId="0" xfId="2" applyNumberFormat="1" applyFont="1" applyFill="1" applyBorder="1" applyAlignment="1">
      <alignment vertical="center"/>
    </xf>
    <xf numFmtId="10" fontId="45" fillId="22" borderId="0" xfId="2" applyNumberFormat="1" applyFont="1" applyFill="1" applyBorder="1" applyAlignment="1">
      <alignment vertical="center"/>
    </xf>
    <xf numFmtId="167" fontId="5" fillId="0" borderId="5" xfId="2" applyNumberFormat="1" applyFont="1" applyFill="1" applyBorder="1" applyAlignment="1">
      <alignment vertical="center"/>
    </xf>
    <xf numFmtId="0" fontId="70" fillId="0" borderId="1" xfId="0" applyFont="1" applyFill="1" applyBorder="1" applyAlignment="1">
      <alignment horizontal="center" vertical="center"/>
    </xf>
    <xf numFmtId="0" fontId="69" fillId="0" borderId="1" xfId="0" applyFont="1" applyFill="1" applyBorder="1" applyAlignment="1">
      <alignment vertical="center"/>
    </xf>
    <xf numFmtId="0" fontId="69" fillId="0" borderId="2" xfId="0" applyFont="1" applyFill="1" applyBorder="1" applyAlignment="1">
      <alignment vertical="center"/>
    </xf>
    <xf numFmtId="167" fontId="69" fillId="0" borderId="0" xfId="2" applyNumberFormat="1" applyFont="1" applyFill="1" applyBorder="1" applyAlignment="1">
      <alignment horizontal="left" vertical="center"/>
    </xf>
    <xf numFmtId="0" fontId="71" fillId="0" borderId="1" xfId="0" applyFont="1" applyFill="1" applyBorder="1" applyAlignment="1">
      <alignment horizontal="center" vertical="center"/>
    </xf>
    <xf numFmtId="0" fontId="72" fillId="0" borderId="1" xfId="0" applyFont="1" applyFill="1" applyBorder="1" applyAlignment="1">
      <alignment horizontal="center" vertical="center"/>
    </xf>
    <xf numFmtId="0" fontId="46" fillId="19" borderId="1" xfId="0" applyFont="1" applyFill="1" applyBorder="1" applyAlignment="1">
      <alignment horizontal="center" vertical="center"/>
    </xf>
    <xf numFmtId="173" fontId="46" fillId="19" borderId="0" xfId="2" quotePrefix="1" applyNumberFormat="1" applyFont="1" applyFill="1" applyBorder="1" applyAlignment="1">
      <alignment horizontal="left" vertical="center"/>
    </xf>
    <xf numFmtId="167" fontId="13" fillId="0" borderId="5" xfId="2" applyNumberFormat="1" applyFont="1" applyFill="1" applyBorder="1" applyAlignment="1">
      <alignment vertical="center"/>
    </xf>
    <xf numFmtId="49" fontId="7" fillId="2" borderId="0" xfId="2" applyNumberFormat="1" applyFont="1" applyFill="1" applyBorder="1" applyAlignment="1">
      <alignment horizontal="center" vertical="center" wrapText="1"/>
    </xf>
    <xf numFmtId="9" fontId="0" fillId="0" borderId="0" xfId="9" applyFont="1" applyAlignment="1">
      <alignment vertical="center"/>
    </xf>
    <xf numFmtId="0" fontId="71" fillId="0" borderId="0" xfId="0" applyFont="1" applyFill="1" applyAlignment="1">
      <alignment horizontal="left" vertical="center"/>
    </xf>
    <xf numFmtId="167" fontId="5" fillId="0" borderId="0" xfId="2" applyNumberFormat="1" applyFont="1" applyAlignment="1">
      <alignment vertical="center"/>
    </xf>
    <xf numFmtId="167" fontId="5" fillId="0" borderId="0" xfId="2" applyNumberFormat="1" applyFont="1" applyFill="1" applyAlignment="1">
      <alignment vertical="center"/>
    </xf>
    <xf numFmtId="167" fontId="5" fillId="0" borderId="0" xfId="0" applyNumberFormat="1" applyFont="1" applyAlignment="1">
      <alignment vertical="center"/>
    </xf>
    <xf numFmtId="10" fontId="16" fillId="22" borderId="10" xfId="2" applyNumberFormat="1" applyFont="1" applyFill="1" applyBorder="1" applyAlignment="1">
      <alignment vertical="center"/>
    </xf>
    <xf numFmtId="186" fontId="0" fillId="0" borderId="0" xfId="0" applyNumberFormat="1"/>
    <xf numFmtId="0" fontId="5" fillId="26" borderId="0" xfId="0" applyFont="1" applyFill="1" applyAlignment="1">
      <alignment vertical="center"/>
    </xf>
    <xf numFmtId="167" fontId="5" fillId="26" borderId="5" xfId="2" applyNumberFormat="1" applyFont="1" applyFill="1" applyBorder="1" applyAlignment="1">
      <alignment vertical="center"/>
    </xf>
    <xf numFmtId="167" fontId="41" fillId="7" borderId="3" xfId="2" applyNumberFormat="1" applyFont="1" applyFill="1" applyBorder="1" applyAlignment="1">
      <alignment vertical="center"/>
    </xf>
    <xf numFmtId="167" fontId="7" fillId="7" borderId="2" xfId="2" applyNumberFormat="1" applyFont="1" applyFill="1" applyBorder="1" applyAlignment="1">
      <alignment vertical="center"/>
    </xf>
    <xf numFmtId="0" fontId="7" fillId="0" borderId="0" xfId="0" applyFont="1" applyFill="1" applyAlignment="1">
      <alignment vertical="center"/>
    </xf>
    <xf numFmtId="167" fontId="0" fillId="0" borderId="0" xfId="2" applyNumberFormat="1" applyFont="1" applyFill="1" applyAlignment="1">
      <alignment vertical="center"/>
    </xf>
    <xf numFmtId="167" fontId="7" fillId="0" borderId="0" xfId="2" applyNumberFormat="1" applyFont="1" applyFill="1" applyAlignment="1">
      <alignment vertical="center"/>
    </xf>
    <xf numFmtId="0" fontId="0" fillId="0" borderId="0" xfId="0" applyAlignment="1">
      <alignment horizontal="center" vertical="center"/>
    </xf>
    <xf numFmtId="166" fontId="0" fillId="0" borderId="0" xfId="2" applyNumberFormat="1" applyFont="1" applyAlignment="1">
      <alignment vertical="center"/>
    </xf>
    <xf numFmtId="167" fontId="7" fillId="0" borderId="0" xfId="2" applyNumberFormat="1" applyFont="1" applyFill="1" applyBorder="1" applyAlignment="1">
      <alignment vertical="center"/>
    </xf>
    <xf numFmtId="167" fontId="7" fillId="7" borderId="3" xfId="2" applyNumberFormat="1" applyFont="1" applyFill="1" applyBorder="1" applyAlignment="1">
      <alignment vertical="center"/>
    </xf>
    <xf numFmtId="0" fontId="5" fillId="0" borderId="0" xfId="0" applyFont="1" applyAlignment="1">
      <alignment vertical="center"/>
    </xf>
    <xf numFmtId="166" fontId="0" fillId="0" borderId="0" xfId="2" applyFont="1" applyAlignment="1">
      <alignment vertical="center"/>
    </xf>
    <xf numFmtId="167" fontId="7" fillId="2" borderId="3" xfId="2" applyNumberFormat="1" applyFont="1" applyFill="1" applyBorder="1" applyAlignment="1">
      <alignment vertical="center"/>
    </xf>
    <xf numFmtId="167" fontId="7" fillId="13" borderId="0" xfId="2" applyNumberFormat="1" applyFont="1" applyFill="1" applyAlignment="1">
      <alignment horizontal="center" vertical="center"/>
    </xf>
    <xf numFmtId="167" fontId="7" fillId="13" borderId="0" xfId="2" applyNumberFormat="1" applyFont="1" applyFill="1" applyAlignment="1">
      <alignment vertical="center"/>
    </xf>
    <xf numFmtId="180" fontId="0" fillId="0" borderId="0" xfId="4" applyNumberFormat="1" applyFont="1" applyAlignment="1">
      <alignment vertical="center"/>
    </xf>
    <xf numFmtId="177" fontId="7" fillId="0" borderId="0" xfId="2" applyNumberFormat="1" applyFont="1" applyFill="1" applyAlignment="1">
      <alignment vertical="center"/>
    </xf>
    <xf numFmtId="165" fontId="0" fillId="0" borderId="0" xfId="4" applyFont="1" applyAlignment="1">
      <alignment vertical="center"/>
    </xf>
    <xf numFmtId="167" fontId="7" fillId="0" borderId="1" xfId="2" applyNumberFormat="1" applyFont="1" applyFill="1" applyBorder="1" applyAlignment="1">
      <alignment vertical="center"/>
    </xf>
    <xf numFmtId="167" fontId="7" fillId="10" borderId="3" xfId="2" applyNumberFormat="1" applyFont="1" applyFill="1" applyBorder="1" applyAlignment="1">
      <alignment vertical="center"/>
    </xf>
    <xf numFmtId="166" fontId="7" fillId="0" borderId="0" xfId="2" applyFont="1" applyAlignment="1">
      <alignment vertical="center"/>
    </xf>
    <xf numFmtId="167" fontId="7" fillId="3" borderId="0" xfId="2" applyNumberFormat="1" applyFont="1" applyFill="1" applyAlignment="1">
      <alignment vertical="center"/>
    </xf>
    <xf numFmtId="165" fontId="7" fillId="3" borderId="0" xfId="4" applyFont="1" applyFill="1" applyAlignment="1">
      <alignment vertical="center"/>
    </xf>
    <xf numFmtId="167" fontId="7" fillId="27" borderId="3" xfId="2" applyNumberFormat="1" applyFont="1" applyFill="1" applyBorder="1" applyAlignment="1">
      <alignment vertical="center"/>
    </xf>
    <xf numFmtId="170" fontId="7" fillId="0" borderId="0" xfId="2" applyNumberFormat="1" applyFont="1" applyFill="1" applyAlignment="1">
      <alignment vertical="center"/>
    </xf>
    <xf numFmtId="167" fontId="15" fillId="13" borderId="0" xfId="2" applyNumberFormat="1" applyFont="1" applyFill="1" applyAlignment="1">
      <alignment vertical="center"/>
    </xf>
    <xf numFmtId="169" fontId="7" fillId="3" borderId="0" xfId="2" applyNumberFormat="1" applyFont="1" applyFill="1" applyAlignment="1">
      <alignment vertical="center"/>
    </xf>
    <xf numFmtId="169" fontId="7" fillId="22" borderId="0" xfId="2" applyNumberFormat="1" applyFont="1" applyFill="1" applyAlignment="1">
      <alignment vertical="center"/>
    </xf>
    <xf numFmtId="17" fontId="0" fillId="0" borderId="0" xfId="2" applyNumberFormat="1" applyFont="1" applyAlignment="1">
      <alignment vertical="center"/>
    </xf>
    <xf numFmtId="178" fontId="0" fillId="0" borderId="0" xfId="2" applyNumberFormat="1" applyFont="1" applyAlignment="1">
      <alignment vertical="center"/>
    </xf>
    <xf numFmtId="10" fontId="0" fillId="0" borderId="0" xfId="2" applyNumberFormat="1" applyFont="1" applyAlignment="1">
      <alignment vertical="center"/>
    </xf>
    <xf numFmtId="166" fontId="73" fillId="0" borderId="0" xfId="2" applyFont="1" applyAlignment="1">
      <alignment vertical="center"/>
    </xf>
    <xf numFmtId="167" fontId="16" fillId="7" borderId="0" xfId="2" applyNumberFormat="1" applyFont="1" applyFill="1" applyAlignment="1">
      <alignment vertical="center"/>
    </xf>
    <xf numFmtId="167" fontId="0" fillId="0" borderId="4" xfId="2" applyNumberFormat="1" applyFont="1" applyBorder="1" applyAlignment="1">
      <alignment vertical="center"/>
    </xf>
    <xf numFmtId="167" fontId="5" fillId="3" borderId="0" xfId="2" applyNumberFormat="1" applyFont="1" applyFill="1" applyAlignment="1">
      <alignment vertical="center"/>
    </xf>
    <xf numFmtId="185" fontId="0" fillId="0" borderId="0" xfId="9" applyNumberFormat="1" applyFont="1" applyAlignment="1">
      <alignment vertical="center"/>
    </xf>
    <xf numFmtId="0" fontId="10" fillId="0" borderId="0" xfId="0" applyFont="1" applyAlignment="1">
      <alignment vertical="center"/>
    </xf>
    <xf numFmtId="166" fontId="5" fillId="0" borderId="0" xfId="2" applyFont="1" applyBorder="1" applyAlignment="1">
      <alignment vertical="center"/>
    </xf>
    <xf numFmtId="166" fontId="5" fillId="0" borderId="0" xfId="0" applyNumberFormat="1" applyFont="1" applyBorder="1" applyAlignment="1">
      <alignment vertical="center"/>
    </xf>
    <xf numFmtId="167" fontId="5" fillId="0" borderId="0" xfId="2" applyNumberFormat="1" applyFont="1" applyBorder="1" applyAlignment="1">
      <alignment vertical="center"/>
    </xf>
    <xf numFmtId="10" fontId="5" fillId="0" borderId="0" xfId="9" applyNumberFormat="1" applyFont="1" applyAlignment="1">
      <alignment vertical="center"/>
    </xf>
    <xf numFmtId="0" fontId="36" fillId="0" borderId="0" xfId="0" applyFont="1" applyAlignment="1">
      <alignment vertical="center"/>
    </xf>
    <xf numFmtId="169" fontId="5" fillId="0" borderId="0" xfId="0" applyNumberFormat="1" applyFont="1" applyAlignment="1">
      <alignment vertical="center"/>
    </xf>
    <xf numFmtId="165" fontId="5" fillId="0" borderId="0" xfId="4" applyFont="1" applyAlignment="1">
      <alignment vertical="center"/>
    </xf>
    <xf numFmtId="167" fontId="0" fillId="0" borderId="0" xfId="2" applyNumberFormat="1" applyFont="1" applyBorder="1" applyAlignment="1">
      <alignment vertical="center"/>
    </xf>
    <xf numFmtId="165" fontId="5" fillId="0" borderId="0" xfId="4" applyFont="1" applyBorder="1" applyAlignment="1">
      <alignment vertical="center"/>
    </xf>
    <xf numFmtId="0" fontId="5" fillId="0" borderId="0" xfId="0" applyFont="1" applyBorder="1" applyAlignment="1">
      <alignment vertical="center"/>
    </xf>
    <xf numFmtId="170" fontId="5" fillId="0" borderId="0" xfId="0" applyNumberFormat="1" applyFont="1" applyBorder="1" applyAlignment="1">
      <alignment vertical="center"/>
    </xf>
    <xf numFmtId="0" fontId="0" fillId="0" borderId="20" xfId="0" applyBorder="1" applyAlignment="1">
      <alignment vertical="center"/>
    </xf>
    <xf numFmtId="0" fontId="8" fillId="0" borderId="20" xfId="0" applyFont="1" applyBorder="1" applyAlignment="1">
      <alignment horizontal="center" vertical="center"/>
    </xf>
    <xf numFmtId="0" fontId="0" fillId="0" borderId="20" xfId="0" applyBorder="1" applyAlignment="1">
      <alignment horizontal="center" vertical="center"/>
    </xf>
    <xf numFmtId="185" fontId="5" fillId="24" borderId="22" xfId="9" applyNumberFormat="1" applyFont="1" applyFill="1" applyBorder="1" applyAlignment="1">
      <alignment horizontal="center" vertical="center" wrapText="1"/>
    </xf>
    <xf numFmtId="185" fontId="37" fillId="24" borderId="2" xfId="9" applyNumberFormat="1" applyFont="1" applyFill="1" applyBorder="1" applyAlignment="1">
      <alignment vertical="center"/>
    </xf>
    <xf numFmtId="0" fontId="0" fillId="24" borderId="2" xfId="0" applyFill="1" applyBorder="1" applyAlignment="1">
      <alignment vertical="center"/>
    </xf>
    <xf numFmtId="170" fontId="5" fillId="0" borderId="0" xfId="0" applyNumberFormat="1" applyFont="1" applyFill="1" applyAlignment="1">
      <alignment vertical="center"/>
    </xf>
    <xf numFmtId="9" fontId="5" fillId="0" borderId="0" xfId="9" applyFont="1" applyAlignment="1">
      <alignment vertical="center"/>
    </xf>
    <xf numFmtId="9" fontId="0" fillId="0" borderId="0" xfId="9" applyFont="1" applyFill="1" applyAlignment="1">
      <alignment vertical="center"/>
    </xf>
    <xf numFmtId="167" fontId="70" fillId="0" borderId="0" xfId="2" applyNumberFormat="1" applyFont="1" applyFill="1" applyBorder="1" applyAlignment="1">
      <alignment horizontal="left" vertical="center"/>
    </xf>
    <xf numFmtId="167" fontId="7" fillId="0" borderId="5" xfId="2" applyNumberFormat="1" applyFont="1" applyFill="1" applyBorder="1" applyAlignment="1">
      <alignment vertical="center"/>
    </xf>
    <xf numFmtId="0" fontId="7" fillId="0" borderId="0" xfId="0" applyFont="1" applyAlignment="1">
      <alignment horizontal="center" vertical="center" wrapText="1"/>
    </xf>
    <xf numFmtId="10" fontId="77" fillId="3" borderId="10" xfId="9" applyNumberFormat="1" applyFont="1" applyFill="1" applyBorder="1" applyAlignment="1">
      <alignment vertical="center"/>
    </xf>
    <xf numFmtId="167" fontId="7" fillId="0" borderId="3" xfId="2" applyNumberFormat="1" applyFont="1" applyFill="1" applyBorder="1" applyAlignment="1">
      <alignment horizontal="center" vertical="center"/>
    </xf>
    <xf numFmtId="10" fontId="0" fillId="24" borderId="2" xfId="9" applyNumberFormat="1" applyFont="1" applyFill="1" applyBorder="1" applyAlignment="1">
      <alignment vertical="center"/>
    </xf>
    <xf numFmtId="10" fontId="63" fillId="0" borderId="0" xfId="9" applyNumberFormat="1" applyFont="1" applyAlignment="1">
      <alignment vertical="center"/>
    </xf>
    <xf numFmtId="10" fontId="7" fillId="30" borderId="2" xfId="9" applyNumberFormat="1" applyFont="1" applyFill="1" applyBorder="1" applyAlignment="1">
      <alignment vertical="center"/>
    </xf>
    <xf numFmtId="0" fontId="7" fillId="0" borderId="0" xfId="0" applyFont="1" applyBorder="1" applyAlignment="1">
      <alignment horizontal="center"/>
    </xf>
    <xf numFmtId="167" fontId="7" fillId="31" borderId="0" xfId="2" applyNumberFormat="1" applyFont="1" applyFill="1" applyBorder="1" applyAlignment="1">
      <alignment vertical="center"/>
    </xf>
    <xf numFmtId="167" fontId="5" fillId="31" borderId="0" xfId="2" applyNumberFormat="1" applyFont="1" applyFill="1" applyBorder="1" applyAlignment="1">
      <alignment vertical="center"/>
    </xf>
    <xf numFmtId="167" fontId="46" fillId="31" borderId="0" xfId="2" applyNumberFormat="1" applyFont="1" applyFill="1" applyBorder="1" applyAlignment="1">
      <alignment vertical="center"/>
    </xf>
    <xf numFmtId="167" fontId="0" fillId="0" borderId="0" xfId="2" applyNumberFormat="1" applyFont="1" applyBorder="1" applyAlignment="1">
      <alignment horizontal="left"/>
    </xf>
    <xf numFmtId="0" fontId="7" fillId="14" borderId="26" xfId="0" applyFont="1" applyFill="1" applyBorder="1" applyAlignment="1">
      <alignment horizontal="center" vertical="center" wrapText="1"/>
    </xf>
    <xf numFmtId="0" fontId="58" fillId="0" borderId="0" xfId="5" applyFont="1"/>
    <xf numFmtId="0" fontId="44" fillId="0" borderId="0" xfId="5" applyFont="1"/>
    <xf numFmtId="166" fontId="61" fillId="0" borderId="0" xfId="2" applyFont="1" applyAlignment="1">
      <alignment horizontal="center"/>
    </xf>
    <xf numFmtId="0" fontId="61" fillId="0" borderId="0" xfId="5" applyFont="1" applyAlignment="1">
      <alignment horizontal="center"/>
    </xf>
    <xf numFmtId="0" fontId="39" fillId="0" borderId="0" xfId="12" applyFont="1"/>
    <xf numFmtId="0" fontId="4" fillId="0" borderId="0" xfId="12"/>
    <xf numFmtId="166" fontId="0" fillId="0" borderId="0" xfId="13" applyFont="1"/>
    <xf numFmtId="0" fontId="58" fillId="32" borderId="7" xfId="5" applyFont="1" applyFill="1" applyBorder="1"/>
    <xf numFmtId="0" fontId="58" fillId="32" borderId="8" xfId="5" applyFont="1" applyFill="1" applyBorder="1"/>
    <xf numFmtId="0" fontId="50" fillId="32" borderId="11" xfId="5" applyFont="1" applyFill="1" applyBorder="1" applyAlignment="1">
      <alignment horizontal="center"/>
    </xf>
    <xf numFmtId="0" fontId="50" fillId="32" borderId="15" xfId="5" applyFont="1" applyFill="1" applyBorder="1" applyAlignment="1">
      <alignment horizontal="center"/>
    </xf>
    <xf numFmtId="0" fontId="58" fillId="0" borderId="7" xfId="5" applyFont="1" applyBorder="1"/>
    <xf numFmtId="0" fontId="58" fillId="0" borderId="8" xfId="5" applyFont="1" applyBorder="1"/>
    <xf numFmtId="174" fontId="58" fillId="0" borderId="11" xfId="2" applyNumberFormat="1" applyFont="1" applyBorder="1"/>
    <xf numFmtId="167" fontId="58" fillId="0" borderId="0" xfId="5" applyNumberFormat="1" applyFont="1"/>
    <xf numFmtId="170" fontId="44" fillId="0" borderId="0" xfId="5" applyNumberFormat="1" applyFont="1"/>
    <xf numFmtId="0" fontId="58" fillId="0" borderId="6" xfId="5" applyFont="1" applyBorder="1"/>
    <xf numFmtId="0" fontId="58" fillId="0" borderId="4" xfId="5" applyFont="1" applyBorder="1"/>
    <xf numFmtId="174" fontId="58" fillId="0" borderId="13" xfId="2" applyNumberFormat="1" applyFont="1" applyBorder="1"/>
    <xf numFmtId="0" fontId="39" fillId="0" borderId="1" xfId="5" applyFont="1" applyBorder="1"/>
    <xf numFmtId="0" fontId="44" fillId="0" borderId="3" xfId="5" applyFont="1" applyBorder="1"/>
    <xf numFmtId="0" fontId="50" fillId="8" borderId="1" xfId="5" applyFont="1" applyFill="1" applyBorder="1" applyAlignment="1">
      <alignment horizontal="center"/>
    </xf>
    <xf numFmtId="0" fontId="50" fillId="8" borderId="5" xfId="5" applyFont="1" applyFill="1" applyBorder="1" applyAlignment="1">
      <alignment horizontal="center"/>
    </xf>
    <xf numFmtId="0" fontId="50" fillId="8" borderId="3" xfId="5" applyFont="1" applyFill="1" applyBorder="1" applyAlignment="1">
      <alignment horizontal="center"/>
    </xf>
    <xf numFmtId="0" fontId="58" fillId="32" borderId="6" xfId="5" applyFont="1" applyFill="1" applyBorder="1"/>
    <xf numFmtId="0" fontId="50" fillId="32" borderId="4" xfId="5" applyFont="1" applyFill="1" applyBorder="1"/>
    <xf numFmtId="174" fontId="50" fillId="32" borderId="13" xfId="2" applyNumberFormat="1" applyFont="1" applyFill="1" applyBorder="1"/>
    <xf numFmtId="0" fontId="44" fillId="0" borderId="7" xfId="5" applyFont="1" applyBorder="1"/>
    <xf numFmtId="0" fontId="44" fillId="0" borderId="8" xfId="5" applyFont="1" applyBorder="1"/>
    <xf numFmtId="0" fontId="44" fillId="0" borderId="11" xfId="5" applyFont="1" applyBorder="1"/>
    <xf numFmtId="166" fontId="32" fillId="0" borderId="0" xfId="13" applyFont="1" applyAlignment="1">
      <alignment horizontal="center"/>
    </xf>
    <xf numFmtId="0" fontId="67" fillId="0" borderId="0" xfId="12" applyFont="1"/>
    <xf numFmtId="0" fontId="67" fillId="0" borderId="0" xfId="12" applyFont="1" applyAlignment="1">
      <alignment horizontal="center"/>
    </xf>
    <xf numFmtId="166" fontId="58" fillId="0" borderId="0" xfId="2" applyFont="1"/>
    <xf numFmtId="3" fontId="44" fillId="0" borderId="7" xfId="5" applyNumberFormat="1" applyFont="1" applyBorder="1" applyAlignment="1">
      <alignment horizontal="center"/>
    </xf>
    <xf numFmtId="3" fontId="44" fillId="0" borderId="8" xfId="5" applyNumberFormat="1" applyFont="1" applyBorder="1" applyAlignment="1">
      <alignment horizontal="center"/>
    </xf>
    <xf numFmtId="3" fontId="44" fillId="0" borderId="11" xfId="5" applyNumberFormat="1" applyFont="1" applyBorder="1" applyAlignment="1">
      <alignment horizontal="center"/>
    </xf>
    <xf numFmtId="3" fontId="44" fillId="0" borderId="11" xfId="5" applyNumberFormat="1" applyFont="1" applyBorder="1"/>
    <xf numFmtId="17" fontId="4" fillId="0" borderId="0" xfId="12" applyNumberFormat="1" applyAlignment="1">
      <alignment horizontal="center"/>
    </xf>
    <xf numFmtId="174" fontId="0" fillId="0" borderId="0" xfId="13" applyNumberFormat="1" applyFont="1"/>
    <xf numFmtId="165" fontId="44" fillId="0" borderId="0" xfId="5" applyNumberFormat="1" applyFont="1"/>
    <xf numFmtId="0" fontId="44" fillId="0" borderId="9" xfId="5" applyFont="1" applyBorder="1"/>
    <xf numFmtId="0" fontId="44" fillId="0" borderId="12" xfId="5" applyFont="1" applyBorder="1"/>
    <xf numFmtId="3" fontId="44" fillId="0" borderId="9" xfId="5" applyNumberFormat="1" applyFont="1" applyBorder="1" applyAlignment="1">
      <alignment horizontal="center"/>
    </xf>
    <xf numFmtId="3" fontId="44" fillId="0" borderId="0" xfId="5" applyNumberFormat="1" applyFont="1" applyBorder="1" applyAlignment="1">
      <alignment horizontal="center"/>
    </xf>
    <xf numFmtId="3" fontId="44" fillId="0" borderId="12" xfId="5" applyNumberFormat="1" applyFont="1" applyBorder="1" applyAlignment="1">
      <alignment horizontal="center"/>
    </xf>
    <xf numFmtId="3" fontId="44" fillId="0" borderId="12" xfId="5" applyNumberFormat="1" applyFont="1" applyBorder="1"/>
    <xf numFmtId="17" fontId="66" fillId="0" borderId="0" xfId="12" applyNumberFormat="1" applyFont="1" applyAlignment="1">
      <alignment horizontal="center"/>
    </xf>
    <xf numFmtId="0" fontId="58" fillId="22" borderId="7" xfId="5" applyFont="1" applyFill="1" applyBorder="1"/>
    <xf numFmtId="0" fontId="58" fillId="22" borderId="8" xfId="5" applyFont="1" applyFill="1" applyBorder="1"/>
    <xf numFmtId="174" fontId="50" fillId="22" borderId="11" xfId="2" applyNumberFormat="1" applyFont="1" applyFill="1" applyBorder="1" applyAlignment="1">
      <alignment horizontal="center"/>
    </xf>
    <xf numFmtId="0" fontId="39" fillId="15" borderId="6" xfId="5" applyFont="1" applyFill="1" applyBorder="1"/>
    <xf numFmtId="0" fontId="44" fillId="15" borderId="13" xfId="5" applyFont="1" applyFill="1" applyBorder="1"/>
    <xf numFmtId="3" fontId="39" fillId="15" borderId="6" xfId="5" applyNumberFormat="1" applyFont="1" applyFill="1" applyBorder="1" applyAlignment="1">
      <alignment horizontal="center"/>
    </xf>
    <xf numFmtId="3" fontId="39" fillId="15" borderId="4" xfId="5" applyNumberFormat="1" applyFont="1" applyFill="1" applyBorder="1" applyAlignment="1">
      <alignment horizontal="center"/>
    </xf>
    <xf numFmtId="3" fontId="39" fillId="15" borderId="13" xfId="5" applyNumberFormat="1" applyFont="1" applyFill="1" applyBorder="1" applyAlignment="1">
      <alignment horizontal="center"/>
    </xf>
    <xf numFmtId="3" fontId="39" fillId="15" borderId="13" xfId="5" applyNumberFormat="1" applyFont="1" applyFill="1" applyBorder="1"/>
    <xf numFmtId="166" fontId="44" fillId="0" borderId="0" xfId="5" applyNumberFormat="1" applyFont="1"/>
    <xf numFmtId="0" fontId="66" fillId="0" borderId="0" xfId="12" applyFont="1"/>
    <xf numFmtId="174" fontId="66" fillId="0" borderId="0" xfId="13" applyNumberFormat="1" applyFont="1"/>
    <xf numFmtId="187" fontId="58" fillId="0" borderId="11" xfId="2" applyNumberFormat="1" applyFont="1" applyBorder="1"/>
    <xf numFmtId="171" fontId="58" fillId="0" borderId="0" xfId="9" applyNumberFormat="1" applyFont="1"/>
    <xf numFmtId="0" fontId="44" fillId="0" borderId="0" xfId="5" applyFont="1" applyAlignment="1">
      <alignment horizontal="center" vertical="center"/>
    </xf>
    <xf numFmtId="10" fontId="44" fillId="0" borderId="0" xfId="9" applyNumberFormat="1" applyFont="1"/>
    <xf numFmtId="0" fontId="44" fillId="0" borderId="0" xfId="5" applyFont="1" applyBorder="1"/>
    <xf numFmtId="3" fontId="51" fillId="0" borderId="12" xfId="5" applyNumberFormat="1" applyFont="1" applyFill="1" applyBorder="1"/>
    <xf numFmtId="187" fontId="58" fillId="0" borderId="13" xfId="2" applyNumberFormat="1" applyFont="1" applyBorder="1"/>
    <xf numFmtId="0" fontId="44" fillId="0" borderId="2" xfId="5" applyFont="1" applyBorder="1"/>
    <xf numFmtId="171" fontId="39" fillId="0" borderId="5" xfId="9" applyNumberFormat="1" applyFont="1" applyBorder="1" applyAlignment="1">
      <alignment horizontal="center"/>
    </xf>
    <xf numFmtId="0" fontId="58" fillId="22" borderId="6" xfId="5" applyFont="1" applyFill="1" applyBorder="1"/>
    <xf numFmtId="0" fontId="58" fillId="22" borderId="4" xfId="5" applyFont="1" applyFill="1" applyBorder="1"/>
    <xf numFmtId="174" fontId="58" fillId="22" borderId="13" xfId="2" applyNumberFormat="1" applyFont="1" applyFill="1" applyBorder="1"/>
    <xf numFmtId="0" fontId="44" fillId="0" borderId="15" xfId="5" applyFont="1" applyBorder="1" applyAlignment="1">
      <alignment horizontal="center"/>
    </xf>
    <xf numFmtId="10" fontId="44" fillId="0" borderId="14" xfId="5" applyNumberFormat="1" applyFont="1" applyBorder="1" applyAlignment="1">
      <alignment horizontal="center"/>
    </xf>
    <xf numFmtId="10" fontId="44" fillId="0" borderId="6" xfId="5" applyNumberFormat="1" applyFont="1" applyBorder="1" applyAlignment="1">
      <alignment horizontal="center"/>
    </xf>
    <xf numFmtId="10" fontId="44" fillId="0" borderId="13" xfId="5" applyNumberFormat="1" applyFont="1" applyBorder="1" applyAlignment="1">
      <alignment horizontal="center"/>
    </xf>
    <xf numFmtId="0" fontId="58" fillId="33" borderId="7" xfId="5" applyFont="1" applyFill="1" applyBorder="1"/>
    <xf numFmtId="0" fontId="58" fillId="33" borderId="1" xfId="5" applyFont="1" applyFill="1" applyBorder="1"/>
    <xf numFmtId="0" fontId="50" fillId="33" borderId="5" xfId="5" applyFont="1" applyFill="1" applyBorder="1" applyAlignment="1">
      <alignment horizontal="center"/>
    </xf>
    <xf numFmtId="0" fontId="50" fillId="33" borderId="3" xfId="5" applyFont="1" applyFill="1" applyBorder="1" applyAlignment="1">
      <alignment horizontal="center"/>
    </xf>
    <xf numFmtId="0" fontId="58" fillId="0" borderId="0" xfId="5" applyFont="1" applyBorder="1"/>
    <xf numFmtId="174" fontId="58" fillId="0" borderId="16" xfId="2" applyNumberFormat="1" applyFont="1" applyBorder="1"/>
    <xf numFmtId="174" fontId="58" fillId="0" borderId="12" xfId="2" applyNumberFormat="1" applyFont="1" applyBorder="1"/>
    <xf numFmtId="174" fontId="58" fillId="0" borderId="14" xfId="2" applyNumberFormat="1" applyFont="1" applyBorder="1"/>
    <xf numFmtId="0" fontId="58" fillId="33" borderId="6" xfId="5" applyFont="1" applyFill="1" applyBorder="1"/>
    <xf numFmtId="0" fontId="58" fillId="33" borderId="4" xfId="5" applyFont="1" applyFill="1" applyBorder="1"/>
    <xf numFmtId="174" fontId="58" fillId="33" borderId="14" xfId="2" applyNumberFormat="1" applyFont="1" applyFill="1" applyBorder="1"/>
    <xf numFmtId="174" fontId="58" fillId="33" borderId="13" xfId="2" applyNumberFormat="1" applyFont="1" applyFill="1" applyBorder="1"/>
    <xf numFmtId="10" fontId="44" fillId="0" borderId="0" xfId="5" applyNumberFormat="1" applyFont="1"/>
    <xf numFmtId="0" fontId="66" fillId="34" borderId="0" xfId="12" applyFont="1" applyFill="1"/>
    <xf numFmtId="174" fontId="66" fillId="34" borderId="0" xfId="13" applyNumberFormat="1" applyFont="1" applyFill="1"/>
    <xf numFmtId="0" fontId="44" fillId="34" borderId="0" xfId="5" applyFont="1" applyFill="1"/>
    <xf numFmtId="165" fontId="44" fillId="34" borderId="0" xfId="5" applyNumberFormat="1" applyFont="1" applyFill="1"/>
    <xf numFmtId="0" fontId="78" fillId="0" borderId="0" xfId="5" applyFont="1"/>
    <xf numFmtId="174" fontId="39" fillId="24" borderId="5" xfId="13" applyNumberFormat="1" applyFont="1" applyFill="1" applyBorder="1"/>
    <xf numFmtId="1" fontId="44" fillId="0" borderId="0" xfId="5" applyNumberFormat="1" applyFont="1"/>
    <xf numFmtId="0" fontId="39" fillId="22" borderId="0" xfId="12" applyFont="1" applyFill="1"/>
    <xf numFmtId="174" fontId="50" fillId="22" borderId="0" xfId="13" applyNumberFormat="1" applyFont="1" applyFill="1"/>
    <xf numFmtId="174" fontId="39" fillId="22" borderId="0" xfId="12" applyNumberFormat="1" applyFont="1" applyFill="1"/>
    <xf numFmtId="0" fontId="58" fillId="0" borderId="1" xfId="5" applyFont="1" applyBorder="1"/>
    <xf numFmtId="0" fontId="58" fillId="0" borderId="2" xfId="5" applyFont="1" applyBorder="1"/>
    <xf numFmtId="172" fontId="44" fillId="0" borderId="2" xfId="9" applyNumberFormat="1" applyFont="1" applyBorder="1"/>
    <xf numFmtId="0" fontId="44" fillId="0" borderId="7" xfId="5" applyFont="1" applyBorder="1" applyAlignment="1">
      <alignment horizontal="center"/>
    </xf>
    <xf numFmtId="0" fontId="44" fillId="0" borderId="11" xfId="5" applyFont="1" applyBorder="1" applyAlignment="1">
      <alignment horizontal="center"/>
    </xf>
    <xf numFmtId="0" fontId="44" fillId="0" borderId="4" xfId="5" applyFont="1" applyBorder="1"/>
    <xf numFmtId="172" fontId="44" fillId="0" borderId="4" xfId="5" applyNumberFormat="1" applyFont="1" applyBorder="1"/>
    <xf numFmtId="0" fontId="44" fillId="0" borderId="13" xfId="5" applyFont="1" applyBorder="1"/>
    <xf numFmtId="174" fontId="44" fillId="0" borderId="0" xfId="2" applyNumberFormat="1" applyFont="1" applyBorder="1"/>
    <xf numFmtId="0" fontId="7" fillId="31" borderId="0" xfId="0" applyFont="1" applyFill="1" applyBorder="1" applyAlignment="1">
      <alignment horizontal="center" vertical="center" wrapText="1"/>
    </xf>
    <xf numFmtId="49" fontId="7" fillId="31" borderId="0" xfId="2" applyNumberFormat="1" applyFont="1" applyFill="1" applyBorder="1" applyAlignment="1">
      <alignment horizontal="center" vertical="center" wrapText="1"/>
    </xf>
    <xf numFmtId="167" fontId="42" fillId="31" borderId="0" xfId="2" applyNumberFormat="1" applyFont="1" applyFill="1" applyBorder="1" applyAlignment="1">
      <alignment vertical="center"/>
    </xf>
    <xf numFmtId="167" fontId="69" fillId="31" borderId="0" xfId="2" applyNumberFormat="1" applyFont="1" applyFill="1" applyBorder="1" applyAlignment="1">
      <alignment vertical="center"/>
    </xf>
    <xf numFmtId="167" fontId="52" fillId="31" borderId="0" xfId="2" applyNumberFormat="1" applyFont="1" applyFill="1" applyBorder="1" applyAlignment="1">
      <alignment vertical="center"/>
    </xf>
    <xf numFmtId="167" fontId="33" fillId="31" borderId="0" xfId="2" applyNumberFormat="1" applyFont="1" applyFill="1" applyBorder="1"/>
    <xf numFmtId="0" fontId="44" fillId="0" borderId="0" xfId="5" applyFont="1" applyAlignment="1">
      <alignment horizontal="center"/>
    </xf>
    <xf numFmtId="2" fontId="44" fillId="0" borderId="0" xfId="9" applyNumberFormat="1" applyFont="1" applyAlignment="1">
      <alignment horizontal="center"/>
    </xf>
    <xf numFmtId="0" fontId="72" fillId="0" borderId="7" xfId="0" applyFont="1" applyFill="1" applyBorder="1" applyAlignment="1">
      <alignment horizontal="center" vertical="center"/>
    </xf>
    <xf numFmtId="167" fontId="53" fillId="0" borderId="15" xfId="2" applyNumberFormat="1" applyFont="1" applyFill="1" applyBorder="1" applyAlignment="1">
      <alignment vertical="center"/>
    </xf>
    <xf numFmtId="0" fontId="5" fillId="0" borderId="0" xfId="0" applyFont="1" applyBorder="1"/>
    <xf numFmtId="167" fontId="0" fillId="31" borderId="0" xfId="2" applyNumberFormat="1" applyFont="1" applyFill="1" applyBorder="1" applyAlignment="1">
      <alignment horizontal="left"/>
    </xf>
    <xf numFmtId="167" fontId="7" fillId="31" borderId="0" xfId="2" applyNumberFormat="1" applyFont="1" applyFill="1" applyBorder="1" applyAlignment="1">
      <alignment horizontal="right"/>
    </xf>
    <xf numFmtId="167" fontId="7" fillId="31" borderId="0" xfId="2" applyNumberFormat="1" applyFont="1" applyFill="1" applyBorder="1" applyAlignment="1">
      <alignment horizontal="left"/>
    </xf>
    <xf numFmtId="0" fontId="0" fillId="31" borderId="0" xfId="0" applyFill="1" applyBorder="1"/>
    <xf numFmtId="167" fontId="33" fillId="31" borderId="0" xfId="2" applyNumberFormat="1" applyFont="1" applyFill="1" applyBorder="1" applyAlignment="1">
      <alignment horizontal="left"/>
    </xf>
    <xf numFmtId="170" fontId="0" fillId="31" borderId="0" xfId="0" applyNumberFormat="1" applyFill="1" applyBorder="1"/>
    <xf numFmtId="181" fontId="8" fillId="31" borderId="0" xfId="2" applyNumberFormat="1" applyFont="1" applyFill="1" applyBorder="1" applyAlignment="1">
      <alignment horizontal="left" vertical="center"/>
    </xf>
    <xf numFmtId="0" fontId="5" fillId="31" borderId="0" xfId="0" applyFont="1" applyFill="1" applyBorder="1"/>
    <xf numFmtId="165" fontId="5" fillId="31" borderId="0" xfId="4" applyFont="1" applyFill="1" applyBorder="1"/>
    <xf numFmtId="167" fontId="0" fillId="31" borderId="0" xfId="2" applyNumberFormat="1" applyFont="1" applyFill="1" applyBorder="1"/>
    <xf numFmtId="0" fontId="8" fillId="31" borderId="0" xfId="0" applyFont="1" applyFill="1" applyBorder="1"/>
    <xf numFmtId="0" fontId="7" fillId="31" borderId="0" xfId="0" applyFont="1" applyFill="1" applyBorder="1"/>
    <xf numFmtId="167" fontId="7" fillId="31" borderId="0" xfId="2" applyNumberFormat="1" applyFont="1" applyFill="1" applyBorder="1" applyAlignment="1">
      <alignment horizontal="center"/>
    </xf>
    <xf numFmtId="0" fontId="8" fillId="31" borderId="0" xfId="0" applyFont="1" applyFill="1" applyBorder="1" applyAlignment="1">
      <alignment vertical="center"/>
    </xf>
    <xf numFmtId="181" fontId="8" fillId="31" borderId="0" xfId="2" applyNumberFormat="1" applyFont="1" applyFill="1" applyBorder="1" applyAlignment="1">
      <alignment vertical="center"/>
    </xf>
    <xf numFmtId="0" fontId="44" fillId="17" borderId="0" xfId="5" applyFont="1" applyFill="1" applyAlignment="1">
      <alignment horizontal="center" vertical="center"/>
    </xf>
    <xf numFmtId="0" fontId="44" fillId="12" borderId="0" xfId="5" applyFont="1" applyFill="1" applyAlignment="1">
      <alignment horizontal="center" vertical="center"/>
    </xf>
    <xf numFmtId="10" fontId="44" fillId="0" borderId="5" xfId="5" applyNumberFormat="1" applyFont="1" applyBorder="1" applyAlignment="1">
      <alignment horizontal="center"/>
    </xf>
    <xf numFmtId="2" fontId="44" fillId="0" borderId="5" xfId="5" applyNumberFormat="1" applyFont="1" applyBorder="1" applyAlignment="1">
      <alignment horizontal="center"/>
    </xf>
    <xf numFmtId="0" fontId="39" fillId="13" borderId="30" xfId="0" applyFont="1" applyFill="1" applyBorder="1" applyAlignment="1">
      <alignment horizontal="center" vertical="center"/>
    </xf>
    <xf numFmtId="0" fontId="39" fillId="13" borderId="31" xfId="0" applyFont="1" applyFill="1" applyBorder="1" applyAlignment="1">
      <alignment horizontal="center" vertical="center"/>
    </xf>
    <xf numFmtId="0" fontId="39" fillId="13" borderId="31" xfId="0" applyFont="1" applyFill="1" applyBorder="1" applyAlignment="1">
      <alignment horizontal="center" vertical="center" wrapText="1"/>
    </xf>
    <xf numFmtId="0" fontId="39" fillId="13" borderId="32" xfId="0" applyFont="1" applyFill="1" applyBorder="1" applyAlignment="1">
      <alignment horizontal="center" vertical="center"/>
    </xf>
    <xf numFmtId="17" fontId="0" fillId="0" borderId="33" xfId="0" applyNumberFormat="1" applyBorder="1" applyAlignment="1">
      <alignment horizontal="center" vertical="center"/>
    </xf>
    <xf numFmtId="0" fontId="0" fillId="0" borderId="5" xfId="0" applyBorder="1" applyAlignment="1">
      <alignment horizontal="center" vertical="center"/>
    </xf>
    <xf numFmtId="0" fontId="0" fillId="0" borderId="5" xfId="0" applyBorder="1" applyAlignment="1">
      <alignment horizontal="center" vertical="center" wrapText="1"/>
    </xf>
    <xf numFmtId="165" fontId="80" fillId="0" borderId="5" xfId="4" applyFont="1" applyBorder="1" applyAlignment="1">
      <alignment horizontal="center" vertical="center"/>
    </xf>
    <xf numFmtId="0" fontId="81" fillId="0" borderId="5" xfId="0" applyFont="1" applyBorder="1" applyAlignment="1">
      <alignment horizontal="center" vertical="center" wrapText="1"/>
    </xf>
    <xf numFmtId="165" fontId="39" fillId="0" borderId="5" xfId="4" applyFont="1" applyBorder="1" applyAlignment="1">
      <alignment horizontal="center" vertical="center"/>
    </xf>
    <xf numFmtId="3" fontId="39" fillId="0" borderId="5" xfId="0" applyNumberFormat="1" applyFont="1" applyBorder="1" applyAlignment="1">
      <alignment horizontal="center" vertical="center"/>
    </xf>
    <xf numFmtId="0" fontId="81" fillId="0" borderId="34" xfId="0" applyFont="1" applyBorder="1" applyAlignment="1">
      <alignment horizontal="center" vertical="center" wrapText="1"/>
    </xf>
    <xf numFmtId="0" fontId="0" fillId="0" borderId="33" xfId="0" applyBorder="1" applyAlignment="1">
      <alignment horizontal="center" vertical="center"/>
    </xf>
    <xf numFmtId="6" fontId="39" fillId="0" borderId="5" xfId="0" applyNumberFormat="1" applyFont="1" applyBorder="1" applyAlignment="1">
      <alignment horizontal="center" vertical="center"/>
    </xf>
    <xf numFmtId="0" fontId="0" fillId="0" borderId="5" xfId="0" applyBorder="1"/>
    <xf numFmtId="17" fontId="0" fillId="0" borderId="35" xfId="0" applyNumberFormat="1" applyBorder="1" applyAlignment="1">
      <alignment horizontal="center" vertical="center"/>
    </xf>
    <xf numFmtId="0" fontId="0" fillId="0" borderId="36" xfId="0" applyBorder="1" applyAlignment="1">
      <alignment horizontal="center" vertical="center"/>
    </xf>
    <xf numFmtId="0" fontId="0" fillId="0" borderId="36" xfId="0" applyBorder="1" applyAlignment="1">
      <alignment horizontal="center" vertical="center" wrapText="1"/>
    </xf>
    <xf numFmtId="0" fontId="81" fillId="0" borderId="36" xfId="0" applyFont="1" applyBorder="1" applyAlignment="1">
      <alignment horizontal="center" vertical="center" wrapText="1"/>
    </xf>
    <xf numFmtId="0" fontId="81" fillId="0" borderId="37" xfId="0" applyFont="1" applyBorder="1" applyAlignment="1">
      <alignment horizontal="center" vertical="center" wrapText="1"/>
    </xf>
    <xf numFmtId="188" fontId="0" fillId="0" borderId="5" xfId="0" applyNumberFormat="1" applyBorder="1" applyAlignment="1">
      <alignment wrapText="1"/>
    </xf>
    <xf numFmtId="188" fontId="0" fillId="0" borderId="5" xfId="0" applyNumberFormat="1" applyBorder="1"/>
    <xf numFmtId="165" fontId="44" fillId="0" borderId="0" xfId="4" applyFont="1" applyBorder="1"/>
    <xf numFmtId="167" fontId="7" fillId="0" borderId="0" xfId="2" applyNumberFormat="1" applyFont="1" applyAlignment="1">
      <alignment horizontal="center" vertical="center"/>
    </xf>
    <xf numFmtId="167" fontId="0" fillId="0" borderId="0" xfId="2" applyNumberFormat="1" applyFont="1" applyAlignment="1">
      <alignment horizontal="center" vertical="center" wrapText="1"/>
    </xf>
    <xf numFmtId="167" fontId="7" fillId="0" borderId="0" xfId="2" applyNumberFormat="1" applyFont="1" applyFill="1" applyAlignment="1">
      <alignment horizontal="center" vertical="center"/>
    </xf>
    <xf numFmtId="0" fontId="7" fillId="2" borderId="1" xfId="5" applyFont="1" applyFill="1" applyBorder="1" applyAlignment="1">
      <alignment vertical="center"/>
    </xf>
    <xf numFmtId="0" fontId="7" fillId="2" borderId="2" xfId="5" applyFont="1" applyFill="1" applyBorder="1" applyAlignment="1">
      <alignment vertical="center"/>
    </xf>
    <xf numFmtId="0" fontId="7" fillId="2" borderId="2" xfId="5" applyFont="1" applyFill="1" applyBorder="1" applyAlignment="1">
      <alignment horizontal="center" vertical="center"/>
    </xf>
    <xf numFmtId="0" fontId="7" fillId="0" borderId="2" xfId="5" applyFont="1" applyFill="1" applyBorder="1" applyAlignment="1">
      <alignment horizontal="center" vertical="center"/>
    </xf>
    <xf numFmtId="0" fontId="7" fillId="0" borderId="0" xfId="5" applyFont="1" applyAlignment="1">
      <alignment vertical="center"/>
    </xf>
    <xf numFmtId="0" fontId="7" fillId="7" borderId="1" xfId="5" applyFont="1" applyFill="1" applyBorder="1" applyAlignment="1">
      <alignment vertical="center"/>
    </xf>
    <xf numFmtId="0" fontId="7" fillId="7" borderId="2" xfId="5" applyFont="1" applyFill="1" applyBorder="1" applyAlignment="1">
      <alignment vertical="center"/>
    </xf>
    <xf numFmtId="0" fontId="7" fillId="7" borderId="2" xfId="5" applyFont="1" applyFill="1" applyBorder="1" applyAlignment="1">
      <alignment horizontal="center" vertical="center"/>
    </xf>
    <xf numFmtId="0" fontId="16" fillId="7" borderId="0" xfId="5" applyFont="1" applyFill="1" applyAlignment="1">
      <alignment horizontal="center" vertical="center"/>
    </xf>
    <xf numFmtId="0" fontId="7" fillId="0" borderId="0" xfId="5" applyFont="1" applyFill="1" applyAlignment="1">
      <alignment vertical="center"/>
    </xf>
    <xf numFmtId="0" fontId="5" fillId="0" borderId="0" xfId="5" applyFill="1" applyAlignment="1">
      <alignment vertical="center"/>
    </xf>
    <xf numFmtId="0" fontId="5" fillId="0" borderId="0" xfId="5" applyFill="1" applyAlignment="1">
      <alignment horizontal="center" vertical="center"/>
    </xf>
    <xf numFmtId="0" fontId="5" fillId="0" borderId="0" xfId="5" applyFont="1" applyFill="1" applyAlignment="1">
      <alignment vertical="center"/>
    </xf>
    <xf numFmtId="0" fontId="7" fillId="0" borderId="0" xfId="5" applyFont="1" applyFill="1" applyAlignment="1">
      <alignment horizontal="center" vertical="center"/>
    </xf>
    <xf numFmtId="167" fontId="5" fillId="0" borderId="0" xfId="5" applyNumberFormat="1" applyFill="1" applyAlignment="1">
      <alignment vertical="center"/>
    </xf>
    <xf numFmtId="0" fontId="5" fillId="0" borderId="4" xfId="5" applyFont="1" applyFill="1" applyBorder="1" applyAlignment="1">
      <alignment vertical="center"/>
    </xf>
    <xf numFmtId="0" fontId="5" fillId="0" borderId="4" xfId="5" applyFill="1" applyBorder="1" applyAlignment="1">
      <alignment vertical="center"/>
    </xf>
    <xf numFmtId="166" fontId="5" fillId="0" borderId="0" xfId="5" applyNumberFormat="1" applyFill="1" applyAlignment="1">
      <alignment vertical="center"/>
    </xf>
    <xf numFmtId="166" fontId="5" fillId="13" borderId="0" xfId="2" applyNumberFormat="1" applyFont="1" applyFill="1" applyAlignment="1">
      <alignment vertical="center"/>
    </xf>
    <xf numFmtId="0" fontId="7" fillId="0" borderId="0" xfId="5" applyFont="1" applyFill="1" applyBorder="1" applyAlignment="1">
      <alignment horizontal="center" vertical="center"/>
    </xf>
    <xf numFmtId="0" fontId="5" fillId="0" borderId="0" xfId="5" applyFont="1" applyFill="1" applyBorder="1" applyAlignment="1">
      <alignment horizontal="center" vertical="center"/>
    </xf>
    <xf numFmtId="0" fontId="7" fillId="0" borderId="0" xfId="5" applyFont="1" applyFill="1" applyBorder="1" applyAlignment="1">
      <alignment vertical="center"/>
    </xf>
    <xf numFmtId="0" fontId="7" fillId="0" borderId="0" xfId="5" applyNumberFormat="1" applyFont="1" applyFill="1" applyBorder="1" applyAlignment="1">
      <alignment vertical="center"/>
    </xf>
    <xf numFmtId="0" fontId="12" fillId="0" borderId="0" xfId="5" applyFont="1" applyAlignment="1">
      <alignment vertical="center"/>
    </xf>
    <xf numFmtId="0" fontId="5" fillId="0" borderId="0" xfId="5" applyAlignment="1">
      <alignment horizontal="center" vertical="center"/>
    </xf>
    <xf numFmtId="0" fontId="12" fillId="0" borderId="0" xfId="5" applyFont="1" applyAlignment="1">
      <alignment horizontal="center" vertical="center"/>
    </xf>
    <xf numFmtId="0" fontId="5" fillId="0" borderId="0" xfId="5" applyFont="1" applyAlignment="1">
      <alignment vertical="center"/>
    </xf>
    <xf numFmtId="166" fontId="5" fillId="3" borderId="0" xfId="2" applyNumberFormat="1" applyFont="1" applyFill="1" applyAlignment="1">
      <alignment vertical="center"/>
    </xf>
    <xf numFmtId="0" fontId="5" fillId="3" borderId="0" xfId="5" applyFont="1" applyFill="1" applyAlignment="1">
      <alignment vertical="center"/>
    </xf>
    <xf numFmtId="0" fontId="46" fillId="3" borderId="0" xfId="5" applyFont="1" applyFill="1" applyAlignment="1">
      <alignment vertical="center"/>
    </xf>
    <xf numFmtId="166" fontId="46" fillId="3" borderId="0" xfId="5" applyNumberFormat="1" applyFont="1" applyFill="1" applyAlignment="1">
      <alignment vertical="center"/>
    </xf>
    <xf numFmtId="167" fontId="46" fillId="3" borderId="0" xfId="2" applyNumberFormat="1" applyFont="1" applyFill="1" applyAlignment="1">
      <alignment vertical="center"/>
    </xf>
    <xf numFmtId="0" fontId="7" fillId="0" borderId="0" xfId="5" applyFont="1" applyAlignment="1">
      <alignment horizontal="center" vertical="center"/>
    </xf>
    <xf numFmtId="2" fontId="7" fillId="0" borderId="0" xfId="5" applyNumberFormat="1" applyFont="1" applyAlignment="1">
      <alignment horizontal="center" vertical="center"/>
    </xf>
    <xf numFmtId="0" fontId="5" fillId="0" borderId="4" xfId="5" applyFont="1" applyBorder="1" applyAlignment="1">
      <alignment horizontal="center" vertical="center"/>
    </xf>
    <xf numFmtId="0" fontId="5" fillId="0" borderId="4" xfId="5" applyBorder="1" applyAlignment="1">
      <alignment horizontal="center" vertical="center"/>
    </xf>
    <xf numFmtId="2" fontId="5" fillId="0" borderId="4" xfId="5" applyNumberFormat="1" applyBorder="1" applyAlignment="1">
      <alignment horizontal="center" vertical="center"/>
    </xf>
    <xf numFmtId="0" fontId="5" fillId="0" borderId="0" xfId="5" applyFont="1" applyAlignment="1">
      <alignment horizontal="left" vertical="center"/>
    </xf>
    <xf numFmtId="0" fontId="7" fillId="0" borderId="7" xfId="5" applyFont="1" applyFill="1" applyBorder="1" applyAlignment="1">
      <alignment horizontal="left" vertical="center"/>
    </xf>
    <xf numFmtId="0" fontId="7" fillId="0" borderId="8" xfId="5" applyFont="1" applyFill="1" applyBorder="1" applyAlignment="1">
      <alignment horizontal="center" vertical="center"/>
    </xf>
    <xf numFmtId="0" fontId="7" fillId="0" borderId="8" xfId="5" applyFont="1" applyFill="1" applyBorder="1" applyAlignment="1">
      <alignment vertical="center"/>
    </xf>
    <xf numFmtId="167" fontId="7" fillId="0" borderId="8" xfId="2" applyNumberFormat="1" applyFont="1" applyFill="1" applyBorder="1" applyAlignment="1">
      <alignment vertical="center"/>
    </xf>
    <xf numFmtId="0" fontId="7" fillId="0" borderId="9" xfId="5" applyFont="1" applyFill="1" applyBorder="1" applyAlignment="1">
      <alignment horizontal="center" vertical="center"/>
    </xf>
    <xf numFmtId="0" fontId="5" fillId="0" borderId="0" xfId="5" applyFill="1" applyBorder="1" applyAlignment="1">
      <alignment vertical="center"/>
    </xf>
    <xf numFmtId="0" fontId="5" fillId="0" borderId="0" xfId="5" applyFill="1" applyBorder="1" applyAlignment="1">
      <alignment horizontal="center" vertical="center"/>
    </xf>
    <xf numFmtId="167" fontId="5" fillId="0" borderId="0" xfId="2" applyNumberFormat="1" applyFont="1" applyFill="1" applyBorder="1" applyAlignment="1">
      <alignment vertical="center"/>
    </xf>
    <xf numFmtId="0" fontId="15" fillId="0" borderId="19" xfId="5" applyFont="1" applyBorder="1" applyAlignment="1">
      <alignment vertical="center"/>
    </xf>
    <xf numFmtId="169" fontId="15" fillId="3" borderId="21" xfId="5" applyNumberFormat="1" applyFont="1" applyFill="1" applyBorder="1" applyAlignment="1">
      <alignment vertical="center"/>
    </xf>
    <xf numFmtId="175" fontId="5" fillId="0" borderId="0" xfId="5" applyNumberFormat="1" applyAlignment="1">
      <alignment vertical="center"/>
    </xf>
    <xf numFmtId="0" fontId="7" fillId="0" borderId="6" xfId="5" applyFont="1" applyFill="1" applyBorder="1" applyAlignment="1">
      <alignment horizontal="center" vertical="center"/>
    </xf>
    <xf numFmtId="0" fontId="7" fillId="0" borderId="4" xfId="5" applyFont="1" applyFill="1" applyBorder="1" applyAlignment="1">
      <alignment horizontal="center" vertical="center"/>
    </xf>
    <xf numFmtId="0" fontId="5" fillId="0" borderId="4" xfId="5" applyFill="1" applyBorder="1" applyAlignment="1">
      <alignment horizontal="center" vertical="center"/>
    </xf>
    <xf numFmtId="167" fontId="5" fillId="0" borderId="4" xfId="2" applyNumberFormat="1" applyFont="1" applyFill="1" applyBorder="1" applyAlignment="1">
      <alignment vertical="center"/>
    </xf>
    <xf numFmtId="167" fontId="7" fillId="0" borderId="4" xfId="2" applyNumberFormat="1" applyFont="1" applyFill="1" applyBorder="1" applyAlignment="1">
      <alignment vertical="center"/>
    </xf>
    <xf numFmtId="0" fontId="5" fillId="0" borderId="4" xfId="5" applyFont="1" applyBorder="1" applyAlignment="1">
      <alignment vertical="center"/>
    </xf>
    <xf numFmtId="0" fontId="5" fillId="0" borderId="4" xfId="5" applyBorder="1" applyAlignment="1">
      <alignment vertical="center"/>
    </xf>
    <xf numFmtId="167" fontId="5" fillId="13" borderId="0" xfId="2" applyNumberFormat="1" applyFont="1" applyFill="1" applyAlignment="1">
      <alignment vertical="center"/>
    </xf>
    <xf numFmtId="0" fontId="5" fillId="0" borderId="0" xfId="5" applyFont="1" applyBorder="1" applyAlignment="1">
      <alignment vertical="center"/>
    </xf>
    <xf numFmtId="167" fontId="7" fillId="0" borderId="0" xfId="5" applyNumberFormat="1" applyFont="1" applyAlignment="1">
      <alignment horizontal="center" vertical="center"/>
    </xf>
    <xf numFmtId="172" fontId="5" fillId="0" borderId="0" xfId="5" applyNumberFormat="1" applyFill="1" applyAlignment="1">
      <alignment vertical="center"/>
    </xf>
    <xf numFmtId="10" fontId="5" fillId="0" borderId="0" xfId="5" applyNumberFormat="1" applyFill="1" applyAlignment="1">
      <alignment vertical="center"/>
    </xf>
    <xf numFmtId="10" fontId="5" fillId="0" borderId="0" xfId="5" applyNumberFormat="1" applyAlignment="1">
      <alignment vertical="center"/>
    </xf>
    <xf numFmtId="172" fontId="5" fillId="0" borderId="0" xfId="9" applyNumberFormat="1" applyFont="1" applyFill="1" applyAlignment="1">
      <alignment vertical="center"/>
    </xf>
    <xf numFmtId="172" fontId="5" fillId="0" borderId="0" xfId="5" applyNumberFormat="1" applyAlignment="1">
      <alignment vertical="center"/>
    </xf>
    <xf numFmtId="10" fontId="5" fillId="0" borderId="0" xfId="9" applyNumberFormat="1" applyFont="1" applyFill="1" applyAlignment="1">
      <alignment vertical="center"/>
    </xf>
    <xf numFmtId="172" fontId="0" fillId="0" borderId="0" xfId="9" applyNumberFormat="1" applyFont="1" applyAlignment="1">
      <alignment vertical="center"/>
    </xf>
    <xf numFmtId="166" fontId="5" fillId="3" borderId="0" xfId="2" applyFont="1" applyFill="1" applyAlignment="1">
      <alignment vertical="center"/>
    </xf>
    <xf numFmtId="166" fontId="5" fillId="0" borderId="0" xfId="5" applyNumberFormat="1" applyAlignment="1">
      <alignment vertical="center"/>
    </xf>
    <xf numFmtId="0" fontId="7" fillId="13" borderId="0" xfId="5" applyFont="1" applyFill="1" applyAlignment="1">
      <alignment vertical="center"/>
    </xf>
    <xf numFmtId="0" fontId="7" fillId="13" borderId="0" xfId="5" applyFont="1" applyFill="1" applyAlignment="1">
      <alignment horizontal="center" vertical="center"/>
    </xf>
    <xf numFmtId="0" fontId="5" fillId="0" borderId="0" xfId="5" applyFont="1" applyFill="1" applyBorder="1" applyAlignment="1">
      <alignment vertical="center"/>
    </xf>
    <xf numFmtId="9" fontId="7" fillId="7" borderId="0" xfId="5" applyNumberFormat="1" applyFont="1" applyFill="1" applyBorder="1" applyAlignment="1">
      <alignment horizontal="center" vertical="center"/>
    </xf>
    <xf numFmtId="0" fontId="5" fillId="7" borderId="0" xfId="5" applyFont="1" applyFill="1" applyBorder="1" applyAlignment="1">
      <alignment vertical="center"/>
    </xf>
    <xf numFmtId="9" fontId="7" fillId="0" borderId="0" xfId="5" applyNumberFormat="1" applyFont="1" applyFill="1" applyBorder="1" applyAlignment="1">
      <alignment horizontal="center" vertical="center"/>
    </xf>
    <xf numFmtId="0" fontId="7" fillId="0" borderId="0" xfId="5" applyFont="1" applyAlignment="1">
      <alignment horizontal="right" vertical="center"/>
    </xf>
    <xf numFmtId="0" fontId="5" fillId="0" borderId="0" xfId="5" applyFont="1" applyAlignment="1">
      <alignment horizontal="center" vertical="center"/>
    </xf>
    <xf numFmtId="167" fontId="5" fillId="0" borderId="0" xfId="5" applyNumberFormat="1" applyAlignment="1">
      <alignment vertical="center"/>
    </xf>
    <xf numFmtId="0" fontId="6" fillId="0" borderId="0" xfId="5" applyFont="1" applyFill="1" applyAlignment="1">
      <alignment vertical="center"/>
    </xf>
    <xf numFmtId="167" fontId="5" fillId="7" borderId="0" xfId="2" applyNumberFormat="1" applyFont="1" applyFill="1" applyAlignment="1">
      <alignment vertical="center"/>
    </xf>
    <xf numFmtId="0" fontId="16" fillId="3" borderId="0" xfId="5" applyFont="1" applyFill="1" applyAlignment="1">
      <alignment horizontal="center" vertical="center"/>
    </xf>
    <xf numFmtId="0" fontId="5" fillId="0" borderId="0" xfId="5" applyFont="1" applyAlignment="1">
      <alignment vertical="center" wrapText="1"/>
    </xf>
    <xf numFmtId="167" fontId="7" fillId="0" borderId="0" xfId="5" applyNumberFormat="1" applyFont="1" applyAlignment="1">
      <alignment vertical="center"/>
    </xf>
    <xf numFmtId="173" fontId="5" fillId="3" borderId="0" xfId="2" applyNumberFormat="1" applyFont="1" applyFill="1" applyAlignment="1">
      <alignment vertical="center"/>
    </xf>
    <xf numFmtId="167" fontId="5" fillId="13" borderId="0" xfId="2" applyNumberFormat="1" applyFont="1" applyFill="1" applyAlignment="1">
      <alignment vertical="center" wrapText="1"/>
    </xf>
    <xf numFmtId="165" fontId="5" fillId="0" borderId="0" xfId="5" applyNumberFormat="1" applyAlignment="1">
      <alignment vertical="center"/>
    </xf>
    <xf numFmtId="167" fontId="5" fillId="0" borderId="0" xfId="2" applyNumberFormat="1" applyFont="1" applyFill="1" applyAlignment="1">
      <alignment vertical="center" wrapText="1"/>
    </xf>
    <xf numFmtId="167" fontId="5" fillId="13" borderId="0" xfId="2" applyNumberFormat="1" applyFont="1" applyFill="1" applyAlignment="1">
      <alignment horizontal="center" vertical="center" wrapText="1"/>
    </xf>
    <xf numFmtId="0" fontId="7" fillId="0" borderId="0" xfId="5" applyFont="1" applyAlignment="1">
      <alignment horizontal="center" vertical="center" wrapText="1"/>
    </xf>
    <xf numFmtId="0" fontId="5" fillId="0" borderId="0" xfId="5" applyAlignment="1">
      <alignment horizontal="left" vertical="center" wrapText="1"/>
    </xf>
    <xf numFmtId="167" fontId="5" fillId="0" borderId="0" xfId="2" applyNumberFormat="1" applyFont="1" applyFill="1" applyAlignment="1">
      <alignment horizontal="center" vertical="center" wrapText="1"/>
    </xf>
    <xf numFmtId="0" fontId="7" fillId="0" borderId="2" xfId="5" applyFont="1" applyFill="1" applyBorder="1" applyAlignment="1">
      <alignment vertical="center"/>
    </xf>
    <xf numFmtId="0" fontId="5" fillId="12" borderId="2" xfId="5" applyFill="1" applyBorder="1" applyAlignment="1">
      <alignment vertical="center"/>
    </xf>
    <xf numFmtId="167" fontId="5" fillId="3" borderId="0" xfId="2" applyNumberFormat="1" applyFont="1" applyFill="1" applyAlignment="1">
      <alignment horizontal="center" vertical="center" wrapText="1"/>
    </xf>
    <xf numFmtId="170" fontId="5" fillId="0" borderId="0" xfId="5" applyNumberFormat="1" applyAlignment="1">
      <alignment vertical="center"/>
    </xf>
    <xf numFmtId="173" fontId="5" fillId="3" borderId="0" xfId="2" applyNumberFormat="1" applyFont="1" applyFill="1" applyAlignment="1">
      <alignment horizontal="center" vertical="center" wrapText="1"/>
    </xf>
    <xf numFmtId="168" fontId="5" fillId="3" borderId="0" xfId="2" applyNumberFormat="1" applyFont="1" applyFill="1" applyAlignment="1">
      <alignment horizontal="center" vertical="center" wrapText="1"/>
    </xf>
    <xf numFmtId="0" fontId="5" fillId="0" borderId="0" xfId="5" applyFont="1" applyAlignment="1">
      <alignment horizontal="left" vertical="center" wrapText="1"/>
    </xf>
    <xf numFmtId="0" fontId="7" fillId="0" borderId="0" xfId="5" applyFont="1" applyAlignment="1">
      <alignment horizontal="left" vertical="center" wrapText="1"/>
    </xf>
    <xf numFmtId="167" fontId="5" fillId="11" borderId="0" xfId="2" applyNumberFormat="1" applyFont="1" applyFill="1" applyAlignment="1">
      <alignment vertical="center"/>
    </xf>
    <xf numFmtId="170" fontId="7" fillId="0" borderId="0" xfId="5" applyNumberFormat="1" applyFont="1" applyAlignment="1">
      <alignment vertical="center"/>
    </xf>
    <xf numFmtId="166" fontId="7" fillId="0" borderId="0" xfId="5" applyNumberFormat="1" applyFont="1" applyAlignment="1">
      <alignment vertical="center"/>
    </xf>
    <xf numFmtId="0" fontId="7" fillId="0" borderId="0" xfId="5" applyFont="1" applyBorder="1" applyAlignment="1">
      <alignment horizontal="center" vertical="center"/>
    </xf>
    <xf numFmtId="0" fontId="7" fillId="0" borderId="0" xfId="5" applyFont="1" applyBorder="1" applyAlignment="1">
      <alignment vertical="center"/>
    </xf>
    <xf numFmtId="0" fontId="5" fillId="0" borderId="8" xfId="5" applyBorder="1" applyAlignment="1">
      <alignment vertical="center"/>
    </xf>
    <xf numFmtId="0" fontId="5" fillId="0" borderId="11" xfId="5" applyBorder="1" applyAlignment="1">
      <alignment vertical="center"/>
    </xf>
    <xf numFmtId="0" fontId="15" fillId="0" borderId="0" xfId="5" applyFont="1" applyBorder="1" applyAlignment="1">
      <alignment vertical="center"/>
    </xf>
    <xf numFmtId="0" fontId="5" fillId="0" borderId="0" xfId="5" applyBorder="1" applyAlignment="1">
      <alignment vertical="center"/>
    </xf>
    <xf numFmtId="0" fontId="15" fillId="0" borderId="12" xfId="5" applyFont="1" applyBorder="1" applyAlignment="1">
      <alignment vertical="center"/>
    </xf>
    <xf numFmtId="0" fontId="15" fillId="0" borderId="0" xfId="5" applyFont="1" applyAlignment="1">
      <alignment vertical="center"/>
    </xf>
    <xf numFmtId="165" fontId="7" fillId="0" borderId="12" xfId="5" applyNumberFormat="1" applyFont="1" applyBorder="1" applyAlignment="1">
      <alignment vertical="center"/>
    </xf>
    <xf numFmtId="165" fontId="7" fillId="0" borderId="0" xfId="5" applyNumberFormat="1" applyFont="1" applyAlignment="1">
      <alignment vertical="center"/>
    </xf>
    <xf numFmtId="0" fontId="7" fillId="0" borderId="12" xfId="5" applyFont="1" applyBorder="1" applyAlignment="1">
      <alignment vertical="center"/>
    </xf>
    <xf numFmtId="165" fontId="5" fillId="0" borderId="0" xfId="4" applyFont="1" applyBorder="1" applyAlignment="1">
      <alignment horizontal="center" vertical="center"/>
    </xf>
    <xf numFmtId="165" fontId="7" fillId="0" borderId="13" xfId="5" applyNumberFormat="1" applyFont="1" applyBorder="1" applyAlignment="1">
      <alignment vertical="center"/>
    </xf>
    <xf numFmtId="174" fontId="5" fillId="13" borderId="0" xfId="2" applyNumberFormat="1" applyFont="1" applyFill="1" applyAlignment="1">
      <alignment vertical="center"/>
    </xf>
    <xf numFmtId="175" fontId="5" fillId="0" borderId="0" xfId="5" applyNumberFormat="1" applyFill="1" applyAlignment="1">
      <alignment vertical="center"/>
    </xf>
    <xf numFmtId="3" fontId="7" fillId="0" borderId="0" xfId="5" applyNumberFormat="1" applyFont="1" applyAlignment="1">
      <alignment horizontal="left" vertical="center"/>
    </xf>
    <xf numFmtId="4" fontId="7" fillId="0" borderId="0" xfId="5" applyNumberFormat="1" applyFont="1" applyAlignment="1">
      <alignment vertical="center"/>
    </xf>
    <xf numFmtId="0" fontId="7" fillId="0" borderId="4" xfId="5" applyFont="1" applyBorder="1" applyAlignment="1">
      <alignment vertical="center"/>
    </xf>
    <xf numFmtId="0" fontId="16" fillId="13" borderId="0" xfId="5" applyFont="1" applyFill="1" applyAlignment="1">
      <alignment horizontal="center" vertical="center"/>
    </xf>
    <xf numFmtId="0" fontId="5" fillId="3" borderId="0" xfId="5" applyFont="1" applyFill="1" applyAlignment="1">
      <alignment horizontal="center" vertical="center"/>
    </xf>
    <xf numFmtId="167" fontId="7" fillId="7" borderId="0" xfId="2" applyNumberFormat="1" applyFont="1" applyFill="1" applyAlignment="1">
      <alignment vertical="center"/>
    </xf>
    <xf numFmtId="17" fontId="5" fillId="0" borderId="0" xfId="5" applyNumberFormat="1" applyAlignment="1">
      <alignment vertical="center"/>
    </xf>
    <xf numFmtId="174" fontId="5" fillId="3" borderId="0" xfId="2" applyNumberFormat="1" applyFont="1" applyFill="1" applyAlignment="1">
      <alignment vertical="center"/>
    </xf>
    <xf numFmtId="174" fontId="5" fillId="0" borderId="0" xfId="5" applyNumberFormat="1" applyAlignment="1">
      <alignment vertical="center"/>
    </xf>
    <xf numFmtId="165" fontId="7" fillId="7" borderId="0" xfId="4" applyFont="1" applyFill="1" applyAlignment="1">
      <alignment vertical="center"/>
    </xf>
    <xf numFmtId="178" fontId="5" fillId="0" borderId="0" xfId="5" applyNumberFormat="1" applyAlignment="1">
      <alignment vertical="center"/>
    </xf>
    <xf numFmtId="174" fontId="7" fillId="7" borderId="0" xfId="2" applyNumberFormat="1" applyFont="1" applyFill="1" applyAlignment="1">
      <alignment vertical="center"/>
    </xf>
    <xf numFmtId="0" fontId="34" fillId="0" borderId="0" xfId="5" applyFont="1" applyAlignment="1">
      <alignment horizontal="left" vertical="center"/>
    </xf>
    <xf numFmtId="10" fontId="34" fillId="0" borderId="0" xfId="5" applyNumberFormat="1" applyFont="1" applyAlignment="1">
      <alignment horizontal="left" vertical="center"/>
    </xf>
    <xf numFmtId="0" fontId="12" fillId="0" borderId="0" xfId="5" applyFont="1" applyAlignment="1">
      <alignment horizontal="right" vertical="center"/>
    </xf>
    <xf numFmtId="4" fontId="5" fillId="0" borderId="0" xfId="5" applyNumberFormat="1" applyAlignment="1">
      <alignment vertical="center"/>
    </xf>
    <xf numFmtId="178" fontId="7" fillId="0" borderId="0" xfId="5" applyNumberFormat="1" applyFont="1" applyAlignment="1">
      <alignment vertical="center"/>
    </xf>
    <xf numFmtId="0" fontId="0" fillId="30" borderId="19" xfId="0" applyFill="1" applyBorder="1" applyAlignment="1">
      <alignment vertical="center" wrapText="1"/>
    </xf>
    <xf numFmtId="0" fontId="5" fillId="0" borderId="10" xfId="0" applyFont="1" applyBorder="1" applyAlignment="1">
      <alignment horizontal="center" vertical="center"/>
    </xf>
    <xf numFmtId="0" fontId="0" fillId="30" borderId="10" xfId="0" applyFill="1" applyBorder="1" applyAlignment="1">
      <alignment vertical="center" wrapText="1"/>
    </xf>
    <xf numFmtId="167" fontId="0" fillId="3" borderId="0" xfId="2" applyNumberFormat="1" applyFont="1" applyFill="1" applyAlignment="1">
      <alignment vertical="center"/>
    </xf>
    <xf numFmtId="0" fontId="49" fillId="24" borderId="16" xfId="0" applyNumberFormat="1" applyFont="1" applyFill="1" applyBorder="1" applyAlignment="1">
      <alignment horizontal="center"/>
    </xf>
    <xf numFmtId="0" fontId="0" fillId="0" borderId="0" xfId="0"/>
    <xf numFmtId="188" fontId="0" fillId="0" borderId="5" xfId="0" applyNumberFormat="1" applyBorder="1"/>
    <xf numFmtId="0" fontId="58" fillId="0" borderId="5" xfId="0" applyFont="1" applyBorder="1"/>
    <xf numFmtId="188" fontId="0" fillId="0" borderId="14" xfId="0" applyNumberFormat="1" applyBorder="1"/>
    <xf numFmtId="188" fontId="0" fillId="0" borderId="0" xfId="0" applyNumberFormat="1"/>
    <xf numFmtId="0" fontId="49" fillId="24" borderId="0" xfId="0" applyNumberFormat="1" applyFont="1" applyFill="1" applyBorder="1" applyAlignment="1">
      <alignment horizontal="center"/>
    </xf>
    <xf numFmtId="188" fontId="0" fillId="0" borderId="1" xfId="0" applyNumberFormat="1" applyBorder="1"/>
    <xf numFmtId="17" fontId="58" fillId="0" borderId="0" xfId="0" applyNumberFormat="1" applyFont="1" applyFill="1" applyBorder="1" applyAlignment="1">
      <alignment horizontal="center" vertical="center"/>
    </xf>
    <xf numFmtId="2" fontId="0" fillId="0" borderId="5" xfId="0" applyNumberFormat="1" applyBorder="1" applyAlignment="1">
      <alignment horizontal="center" vertical="center"/>
    </xf>
    <xf numFmtId="10" fontId="0" fillId="0" borderId="5" xfId="20" applyNumberFormat="1" applyFont="1" applyBorder="1" applyAlignment="1">
      <alignment horizontal="center" vertical="center"/>
    </xf>
    <xf numFmtId="0" fontId="7" fillId="0" borderId="5" xfId="0" applyFont="1" applyBorder="1" applyAlignment="1">
      <alignment horizontal="center" vertical="center"/>
    </xf>
    <xf numFmtId="17" fontId="50" fillId="0" borderId="5" xfId="0" applyNumberFormat="1" applyFont="1" applyFill="1" applyBorder="1" applyAlignment="1">
      <alignment horizontal="center" vertical="center"/>
    </xf>
    <xf numFmtId="188" fontId="0" fillId="0" borderId="6" xfId="0" applyNumberFormat="1" applyBorder="1"/>
    <xf numFmtId="49" fontId="7" fillId="14" borderId="47" xfId="2" applyNumberFormat="1" applyFont="1" applyFill="1" applyBorder="1" applyAlignment="1">
      <alignment horizontal="center" vertical="center" wrapText="1"/>
    </xf>
    <xf numFmtId="167" fontId="7" fillId="14" borderId="27" xfId="2" applyNumberFormat="1" applyFont="1" applyFill="1" applyBorder="1" applyAlignment="1">
      <alignment vertical="center"/>
    </xf>
    <xf numFmtId="165" fontId="39" fillId="0" borderId="36" xfId="4" applyFont="1" applyBorder="1" applyAlignment="1">
      <alignment horizontal="center" vertical="center"/>
    </xf>
    <xf numFmtId="3" fontId="39" fillId="0" borderId="36" xfId="0" applyNumberFormat="1" applyFont="1" applyBorder="1" applyAlignment="1">
      <alignment horizontal="center" vertical="center"/>
    </xf>
    <xf numFmtId="165" fontId="51" fillId="0" borderId="36" xfId="4" applyFont="1" applyBorder="1" applyAlignment="1">
      <alignment horizontal="center" vertical="center"/>
    </xf>
    <xf numFmtId="3" fontId="51" fillId="0" borderId="36" xfId="0" applyNumberFormat="1" applyFont="1" applyBorder="1" applyAlignment="1">
      <alignment horizontal="center" vertical="center"/>
    </xf>
    <xf numFmtId="0" fontId="0" fillId="0" borderId="34" xfId="0" applyBorder="1" applyAlignment="1">
      <alignment horizontal="center" vertical="center"/>
    </xf>
    <xf numFmtId="166" fontId="7" fillId="0" borderId="0" xfId="2" applyFont="1" applyAlignment="1">
      <alignment horizontal="center" vertical="center"/>
    </xf>
    <xf numFmtId="10" fontId="85" fillId="0" borderId="19" xfId="9" applyNumberFormat="1" applyFont="1" applyBorder="1" applyAlignment="1">
      <alignment horizontal="center" vertical="center"/>
    </xf>
    <xf numFmtId="0" fontId="0" fillId="0" borderId="20" xfId="0" applyBorder="1"/>
    <xf numFmtId="10" fontId="85" fillId="0" borderId="10" xfId="9" applyNumberFormat="1" applyFont="1" applyBorder="1" applyAlignment="1">
      <alignment horizontal="center" vertical="center"/>
    </xf>
    <xf numFmtId="167" fontId="5" fillId="0" borderId="0" xfId="2" applyNumberFormat="1" applyFont="1"/>
    <xf numFmtId="174" fontId="82" fillId="18" borderId="4" xfId="2" applyNumberFormat="1" applyFont="1" applyFill="1" applyBorder="1"/>
    <xf numFmtId="174" fontId="58" fillId="0" borderId="0" xfId="5" applyNumberFormat="1" applyFont="1"/>
    <xf numFmtId="43" fontId="0" fillId="0" borderId="0" xfId="0" applyNumberFormat="1" applyAlignment="1">
      <alignment vertical="center"/>
    </xf>
    <xf numFmtId="165" fontId="51" fillId="0" borderId="36" xfId="4" applyFont="1" applyBorder="1" applyAlignment="1">
      <alignment vertical="center"/>
    </xf>
    <xf numFmtId="0" fontId="7" fillId="0" borderId="1" xfId="0" applyFont="1" applyFill="1" applyBorder="1" applyAlignment="1">
      <alignment horizontal="center" vertical="center"/>
    </xf>
    <xf numFmtId="188" fontId="0" fillId="31" borderId="1" xfId="0" applyNumberFormat="1" applyFill="1" applyBorder="1"/>
    <xf numFmtId="188" fontId="0" fillId="31" borderId="7" xfId="0" applyNumberFormat="1" applyFill="1" applyBorder="1"/>
    <xf numFmtId="165" fontId="0" fillId="0" borderId="5" xfId="4" applyFont="1" applyBorder="1"/>
    <xf numFmtId="165" fontId="0" fillId="14" borderId="5" xfId="4" applyFont="1" applyFill="1" applyBorder="1"/>
    <xf numFmtId="188" fontId="0" fillId="14" borderId="1" xfId="0" applyNumberFormat="1" applyFill="1" applyBorder="1"/>
    <xf numFmtId="165" fontId="7" fillId="14" borderId="27" xfId="4" applyFont="1" applyFill="1" applyBorder="1" applyAlignment="1">
      <alignment vertical="center"/>
    </xf>
    <xf numFmtId="4" fontId="7" fillId="0" borderId="5" xfId="0" applyNumberFormat="1" applyFont="1" applyBorder="1"/>
    <xf numFmtId="0" fontId="7" fillId="0" borderId="5" xfId="0" applyFont="1" applyBorder="1"/>
    <xf numFmtId="4" fontId="0" fillId="0" borderId="5" xfId="0" applyNumberFormat="1" applyBorder="1"/>
    <xf numFmtId="4" fontId="39" fillId="0" borderId="5" xfId="0" applyNumberFormat="1" applyFont="1" applyBorder="1"/>
    <xf numFmtId="167" fontId="5" fillId="17" borderId="26" xfId="2" applyNumberFormat="1" applyFont="1" applyFill="1" applyBorder="1" applyAlignment="1">
      <alignment vertical="center"/>
    </xf>
    <xf numFmtId="167" fontId="42" fillId="17" borderId="27" xfId="2" applyNumberFormat="1" applyFont="1" applyFill="1" applyBorder="1" applyAlignment="1">
      <alignment vertical="center"/>
    </xf>
    <xf numFmtId="167" fontId="5" fillId="17" borderId="27" xfId="2" applyNumberFormat="1" applyFont="1" applyFill="1" applyBorder="1" applyAlignment="1">
      <alignment vertical="center"/>
    </xf>
    <xf numFmtId="184" fontId="5" fillId="17" borderId="27" xfId="2" applyNumberFormat="1" applyFont="1" applyFill="1" applyBorder="1" applyAlignment="1">
      <alignment vertical="center"/>
    </xf>
    <xf numFmtId="166" fontId="5" fillId="17" borderId="27" xfId="2" applyFont="1" applyFill="1" applyBorder="1" applyAlignment="1">
      <alignment vertical="center"/>
    </xf>
    <xf numFmtId="9" fontId="5" fillId="17" borderId="27" xfId="9" applyFont="1" applyFill="1" applyBorder="1" applyAlignment="1">
      <alignment vertical="center"/>
    </xf>
    <xf numFmtId="10" fontId="5" fillId="17" borderId="27" xfId="9" applyNumberFormat="1" applyFont="1" applyFill="1" applyBorder="1" applyAlignment="1">
      <alignment vertical="center"/>
    </xf>
    <xf numFmtId="173" fontId="46" fillId="17" borderId="27" xfId="2" quotePrefix="1" applyNumberFormat="1" applyFont="1" applyFill="1" applyBorder="1" applyAlignment="1">
      <alignment vertical="center"/>
    </xf>
    <xf numFmtId="167" fontId="46" fillId="17" borderId="27" xfId="2" applyNumberFormat="1" applyFont="1" applyFill="1" applyBorder="1" applyAlignment="1">
      <alignment vertical="center"/>
    </xf>
    <xf numFmtId="167" fontId="7" fillId="17" borderId="27" xfId="2" applyNumberFormat="1" applyFont="1" applyFill="1" applyBorder="1" applyAlignment="1">
      <alignment vertical="center"/>
    </xf>
    <xf numFmtId="165" fontId="7" fillId="14" borderId="28" xfId="4" applyFont="1" applyFill="1" applyBorder="1"/>
    <xf numFmtId="0" fontId="7" fillId="0" borderId="7" xfId="0" applyFont="1" applyFill="1" applyBorder="1" applyAlignment="1">
      <alignment horizontal="center" vertical="center"/>
    </xf>
    <xf numFmtId="0" fontId="5" fillId="0" borderId="0" xfId="0" applyFont="1" applyFill="1" applyBorder="1" applyAlignment="1">
      <alignment vertical="center"/>
    </xf>
    <xf numFmtId="0" fontId="69" fillId="0" borderId="0" xfId="0" applyFont="1" applyFill="1" applyBorder="1" applyAlignment="1">
      <alignment vertical="center"/>
    </xf>
    <xf numFmtId="0" fontId="52" fillId="19" borderId="0" xfId="0" applyFont="1" applyFill="1" applyBorder="1" applyAlignment="1">
      <alignment vertical="center"/>
    </xf>
    <xf numFmtId="0" fontId="71" fillId="0" borderId="0" xfId="0" applyFont="1" applyFill="1" applyBorder="1" applyAlignment="1">
      <alignment vertical="center"/>
    </xf>
    <xf numFmtId="0" fontId="46" fillId="19" borderId="0" xfId="0" applyFont="1" applyFill="1" applyBorder="1" applyAlignment="1">
      <alignment vertical="center"/>
    </xf>
    <xf numFmtId="0" fontId="70" fillId="0" borderId="0" xfId="0" applyFont="1" applyFill="1" applyBorder="1" applyAlignment="1">
      <alignment vertical="center"/>
    </xf>
    <xf numFmtId="0" fontId="5" fillId="0" borderId="42" xfId="0" applyFont="1" applyFill="1" applyBorder="1" applyAlignment="1">
      <alignment vertical="center"/>
    </xf>
    <xf numFmtId="0" fontId="5" fillId="0" borderId="43" xfId="0" applyFont="1" applyFill="1" applyBorder="1" applyAlignment="1">
      <alignment vertical="center"/>
    </xf>
    <xf numFmtId="0" fontId="5" fillId="0" borderId="44" xfId="0" applyFont="1" applyFill="1" applyBorder="1" applyAlignment="1">
      <alignment vertical="center"/>
    </xf>
    <xf numFmtId="0" fontId="5" fillId="0" borderId="38" xfId="0" applyFont="1" applyFill="1" applyBorder="1" applyAlignment="1">
      <alignment vertical="center"/>
    </xf>
    <xf numFmtId="0" fontId="5" fillId="0" borderId="39" xfId="0" applyFont="1" applyFill="1" applyBorder="1" applyAlignment="1">
      <alignment vertical="center"/>
    </xf>
    <xf numFmtId="0" fontId="69" fillId="0" borderId="38" xfId="0" applyFont="1" applyFill="1" applyBorder="1" applyAlignment="1">
      <alignment vertical="center"/>
    </xf>
    <xf numFmtId="0" fontId="69" fillId="0" borderId="39" xfId="0" applyFont="1" applyFill="1" applyBorder="1" applyAlignment="1">
      <alignment vertical="center"/>
    </xf>
    <xf numFmtId="0" fontId="52" fillId="19" borderId="38" xfId="0" applyFont="1" applyFill="1" applyBorder="1" applyAlignment="1">
      <alignment vertical="center"/>
    </xf>
    <xf numFmtId="0" fontId="52" fillId="19" borderId="39" xfId="0" applyFont="1" applyFill="1" applyBorder="1" applyAlignment="1">
      <alignment vertical="center"/>
    </xf>
    <xf numFmtId="0" fontId="71" fillId="0" borderId="38" xfId="0" applyFont="1" applyFill="1" applyBorder="1" applyAlignment="1">
      <alignment vertical="center"/>
    </xf>
    <xf numFmtId="0" fontId="71" fillId="0" borderId="39" xfId="0" applyFont="1" applyFill="1" applyBorder="1" applyAlignment="1">
      <alignment vertical="center"/>
    </xf>
    <xf numFmtId="0" fontId="46" fillId="19" borderId="38" xfId="0" applyFont="1" applyFill="1" applyBorder="1" applyAlignment="1">
      <alignment vertical="center"/>
    </xf>
    <xf numFmtId="0" fontId="46" fillId="19" borderId="39" xfId="0" applyFont="1" applyFill="1" applyBorder="1" applyAlignment="1">
      <alignment vertical="center"/>
    </xf>
    <xf numFmtId="0" fontId="70" fillId="0" borderId="38" xfId="0" applyFont="1" applyFill="1" applyBorder="1" applyAlignment="1">
      <alignment vertical="center"/>
    </xf>
    <xf numFmtId="0" fontId="70" fillId="0" borderId="39" xfId="0" applyFont="1" applyFill="1" applyBorder="1" applyAlignment="1">
      <alignment vertical="center"/>
    </xf>
    <xf numFmtId="0" fontId="71" fillId="0" borderId="40" xfId="0" applyFont="1" applyFill="1" applyBorder="1" applyAlignment="1">
      <alignment vertical="center"/>
    </xf>
    <xf numFmtId="0" fontId="71" fillId="0" borderId="41" xfId="0" applyFont="1" applyFill="1" applyBorder="1" applyAlignment="1">
      <alignment vertical="center"/>
    </xf>
    <xf numFmtId="0" fontId="71" fillId="0" borderId="49" xfId="0" applyFont="1" applyFill="1" applyBorder="1" applyAlignment="1">
      <alignment vertical="center"/>
    </xf>
    <xf numFmtId="49" fontId="7" fillId="2" borderId="11" xfId="2" applyNumberFormat="1" applyFont="1" applyFill="1" applyBorder="1" applyAlignment="1">
      <alignment horizontal="center" vertical="center" wrapText="1"/>
    </xf>
    <xf numFmtId="0" fontId="5" fillId="0" borderId="51" xfId="0" applyFont="1" applyBorder="1" applyAlignment="1">
      <alignment horizontal="center"/>
    </xf>
    <xf numFmtId="191" fontId="0" fillId="31" borderId="26" xfId="0" applyNumberFormat="1" applyFill="1" applyBorder="1"/>
    <xf numFmtId="0" fontId="0" fillId="0" borderId="5" xfId="0" applyBorder="1" applyAlignment="1">
      <alignment horizontal="center"/>
    </xf>
    <xf numFmtId="0" fontId="12" fillId="0" borderId="0" xfId="0" applyFont="1" applyBorder="1" applyAlignment="1"/>
    <xf numFmtId="0" fontId="7" fillId="4" borderId="3" xfId="0" applyFont="1" applyFill="1" applyBorder="1" applyAlignment="1">
      <alignment horizontal="center"/>
    </xf>
    <xf numFmtId="4" fontId="7" fillId="4" borderId="5" xfId="0" applyNumberFormat="1" applyFont="1" applyFill="1" applyBorder="1" applyAlignment="1">
      <alignment horizontal="center"/>
    </xf>
    <xf numFmtId="0" fontId="0" fillId="0" borderId="3" xfId="0" applyBorder="1"/>
    <xf numFmtId="0" fontId="7" fillId="0" borderId="3" xfId="0" applyFont="1" applyBorder="1"/>
    <xf numFmtId="0" fontId="7" fillId="0" borderId="0" xfId="0" applyFont="1" applyBorder="1"/>
    <xf numFmtId="4" fontId="7" fillId="0" borderId="0" xfId="0" applyNumberFormat="1" applyFont="1" applyBorder="1"/>
    <xf numFmtId="0" fontId="7" fillId="0" borderId="13" xfId="0" applyFont="1" applyBorder="1"/>
    <xf numFmtId="4" fontId="39" fillId="0" borderId="0" xfId="0" applyNumberFormat="1" applyFont="1" applyFill="1" applyBorder="1" applyAlignment="1">
      <alignment horizontal="center"/>
    </xf>
    <xf numFmtId="0" fontId="7" fillId="4" borderId="5" xfId="0" applyFont="1" applyFill="1" applyBorder="1" applyAlignment="1">
      <alignment horizontal="center"/>
    </xf>
    <xf numFmtId="0" fontId="7" fillId="0" borderId="14" xfId="0" applyFont="1" applyBorder="1"/>
    <xf numFmtId="4" fontId="15" fillId="0" borderId="5" xfId="0" applyNumberFormat="1" applyFont="1" applyBorder="1"/>
    <xf numFmtId="0" fontId="5" fillId="0" borderId="3" xfId="0" applyFont="1" applyBorder="1"/>
    <xf numFmtId="0" fontId="0" fillId="0" borderId="13" xfId="0" applyBorder="1"/>
    <xf numFmtId="0" fontId="58" fillId="31" borderId="0" xfId="5" applyFont="1" applyFill="1"/>
    <xf numFmtId="14" fontId="44" fillId="0" borderId="0" xfId="5" applyNumberFormat="1" applyFont="1" applyAlignment="1"/>
    <xf numFmtId="14" fontId="44" fillId="0" borderId="0" xfId="5" applyNumberFormat="1" applyFont="1"/>
    <xf numFmtId="0" fontId="44" fillId="31" borderId="0" xfId="5" applyFont="1" applyFill="1"/>
    <xf numFmtId="0" fontId="44" fillId="36" borderId="0" xfId="5" applyFont="1" applyFill="1"/>
    <xf numFmtId="0" fontId="44" fillId="39" borderId="0" xfId="5" applyFont="1" applyFill="1"/>
    <xf numFmtId="0" fontId="49" fillId="0" borderId="0" xfId="5" applyFont="1"/>
    <xf numFmtId="0" fontId="44" fillId="0" borderId="0" xfId="5" applyFont="1" applyAlignment="1">
      <alignment horizontal="left"/>
    </xf>
    <xf numFmtId="0" fontId="44" fillId="31" borderId="0" xfId="5" applyFont="1" applyFill="1" applyBorder="1"/>
    <xf numFmtId="189" fontId="44" fillId="39" borderId="0" xfId="5" applyNumberFormat="1" applyFont="1" applyFill="1"/>
    <xf numFmtId="0" fontId="44" fillId="3" borderId="0" xfId="5" applyFont="1" applyFill="1"/>
    <xf numFmtId="0" fontId="44" fillId="37" borderId="0" xfId="5" applyFont="1" applyFill="1"/>
    <xf numFmtId="0" fontId="44" fillId="0" borderId="0" xfId="5" applyFont="1" applyAlignment="1">
      <alignment horizontal="right"/>
    </xf>
    <xf numFmtId="0" fontId="44" fillId="35" borderId="0" xfId="5" applyFont="1" applyFill="1"/>
    <xf numFmtId="0" fontId="44" fillId="0" borderId="5" xfId="5" applyFont="1" applyBorder="1" applyAlignment="1"/>
    <xf numFmtId="0" fontId="7" fillId="70" borderId="62" xfId="5" applyFont="1" applyFill="1" applyBorder="1" applyAlignment="1">
      <alignment horizontal="center" vertical="center" wrapText="1"/>
    </xf>
    <xf numFmtId="0" fontId="7" fillId="70" borderId="45" xfId="5" applyFont="1" applyFill="1" applyBorder="1" applyAlignment="1">
      <alignment horizontal="center" vertical="center" wrapText="1"/>
    </xf>
    <xf numFmtId="0" fontId="7" fillId="70" borderId="22" xfId="5" applyFont="1" applyFill="1" applyBorder="1" applyAlignment="1">
      <alignment horizontal="center" vertical="center" wrapText="1"/>
    </xf>
    <xf numFmtId="165" fontId="44" fillId="0" borderId="5" xfId="4" applyFont="1" applyBorder="1" applyAlignment="1"/>
    <xf numFmtId="0" fontId="5" fillId="0" borderId="64" xfId="5" applyFont="1" applyBorder="1"/>
    <xf numFmtId="165" fontId="0" fillId="0" borderId="14" xfId="4" applyFont="1" applyBorder="1"/>
    <xf numFmtId="165" fontId="0" fillId="0" borderId="6" xfId="4" applyFont="1" applyBorder="1"/>
    <xf numFmtId="165" fontId="0" fillId="0" borderId="65" xfId="4" applyFont="1" applyBorder="1"/>
    <xf numFmtId="0" fontId="5" fillId="0" borderId="33" xfId="5" applyFont="1" applyBorder="1"/>
    <xf numFmtId="0" fontId="5" fillId="0" borderId="33" xfId="5" applyFont="1" applyFill="1" applyBorder="1"/>
    <xf numFmtId="164" fontId="5" fillId="0" borderId="5" xfId="5" applyNumberFormat="1" applyBorder="1"/>
    <xf numFmtId="165" fontId="5" fillId="0" borderId="5" xfId="5" applyNumberFormat="1" applyBorder="1"/>
    <xf numFmtId="165" fontId="5" fillId="0" borderId="34" xfId="5" applyNumberFormat="1" applyBorder="1"/>
    <xf numFmtId="0" fontId="5" fillId="0" borderId="66" xfId="5" applyFont="1" applyBorder="1"/>
    <xf numFmtId="0" fontId="7" fillId="0" borderId="62" xfId="5" applyFont="1" applyBorder="1"/>
    <xf numFmtId="165" fontId="7" fillId="0" borderId="45" xfId="4" applyFont="1" applyBorder="1"/>
    <xf numFmtId="165" fontId="7" fillId="0" borderId="22" xfId="4" applyFont="1" applyBorder="1"/>
    <xf numFmtId="0" fontId="7" fillId="17" borderId="62" xfId="5" applyFont="1" applyFill="1" applyBorder="1"/>
    <xf numFmtId="165" fontId="7" fillId="17" borderId="22" xfId="4" applyFont="1" applyFill="1" applyBorder="1"/>
    <xf numFmtId="0" fontId="44" fillId="31" borderId="0" xfId="5" applyFont="1" applyFill="1" applyAlignment="1">
      <alignment vertical="center"/>
    </xf>
    <xf numFmtId="0" fontId="7" fillId="70" borderId="62" xfId="0" applyFont="1" applyFill="1" applyBorder="1" applyAlignment="1">
      <alignment horizontal="center" vertical="center" wrapText="1"/>
    </xf>
    <xf numFmtId="0" fontId="7" fillId="70" borderId="45" xfId="0" applyFont="1" applyFill="1" applyBorder="1" applyAlignment="1">
      <alignment horizontal="center" vertical="center" wrapText="1"/>
    </xf>
    <xf numFmtId="0" fontId="7" fillId="70" borderId="63" xfId="0" applyFont="1" applyFill="1" applyBorder="1" applyAlignment="1">
      <alignment horizontal="center" vertical="center" wrapText="1"/>
    </xf>
    <xf numFmtId="0" fontId="7" fillId="70" borderId="22" xfId="0" applyFont="1" applyFill="1" applyBorder="1" applyAlignment="1">
      <alignment horizontal="center" vertical="center" wrapText="1"/>
    </xf>
    <xf numFmtId="0" fontId="5" fillId="0" borderId="64" xfId="0" applyFont="1" applyBorder="1"/>
    <xf numFmtId="0" fontId="5" fillId="0" borderId="33" xfId="0" applyFont="1" applyBorder="1"/>
    <xf numFmtId="0" fontId="5" fillId="0" borderId="33" xfId="0" applyFont="1" applyFill="1" applyBorder="1"/>
    <xf numFmtId="0" fontId="7" fillId="0" borderId="62" xfId="0" applyFont="1" applyBorder="1"/>
    <xf numFmtId="0" fontId="7" fillId="17" borderId="62" xfId="0" applyFont="1" applyFill="1" applyBorder="1"/>
    <xf numFmtId="0" fontId="0" fillId="0" borderId="64" xfId="0" applyFont="1" applyBorder="1"/>
    <xf numFmtId="0" fontId="0" fillId="0" borderId="33" xfId="0" applyFont="1" applyBorder="1"/>
    <xf numFmtId="44" fontId="0" fillId="0" borderId="5" xfId="4" applyNumberFormat="1" applyFont="1" applyBorder="1"/>
    <xf numFmtId="0" fontId="7" fillId="70" borderId="0" xfId="0" applyFont="1" applyFill="1" applyBorder="1" applyAlignment="1">
      <alignment horizontal="center" vertical="center" wrapText="1"/>
    </xf>
    <xf numFmtId="8" fontId="0" fillId="0" borderId="0" xfId="0" applyNumberFormat="1"/>
    <xf numFmtId="14" fontId="0" fillId="0" borderId="0" xfId="0" applyNumberFormat="1"/>
    <xf numFmtId="0" fontId="0" fillId="0" borderId="68" xfId="0" applyFont="1" applyBorder="1"/>
    <xf numFmtId="165" fontId="0" fillId="0" borderId="16" xfId="4" applyFont="1" applyBorder="1"/>
    <xf numFmtId="44" fontId="0" fillId="0" borderId="16" xfId="4" applyNumberFormat="1" applyFont="1" applyBorder="1"/>
    <xf numFmtId="165" fontId="0" fillId="0" borderId="9" xfId="4" applyFont="1" applyBorder="1"/>
    <xf numFmtId="0" fontId="5" fillId="14" borderId="51" xfId="0" applyFont="1" applyFill="1" applyBorder="1" applyAlignment="1">
      <alignment horizontal="center"/>
    </xf>
    <xf numFmtId="0" fontId="5" fillId="14" borderId="42" xfId="0" applyFont="1" applyFill="1" applyBorder="1" applyAlignment="1">
      <alignment horizontal="center"/>
    </xf>
    <xf numFmtId="167" fontId="69" fillId="14" borderId="26" xfId="2" applyNumberFormat="1" applyFont="1" applyFill="1" applyBorder="1" applyAlignment="1">
      <alignment vertical="center"/>
    </xf>
    <xf numFmtId="167" fontId="69" fillId="14" borderId="27" xfId="2" applyNumberFormat="1" applyFont="1" applyFill="1" applyBorder="1" applyAlignment="1">
      <alignment vertical="center"/>
    </xf>
    <xf numFmtId="167" fontId="69" fillId="14" borderId="46" xfId="2" applyNumberFormat="1" applyFont="1" applyFill="1" applyBorder="1" applyAlignment="1">
      <alignment vertical="center"/>
    </xf>
    <xf numFmtId="188" fontId="0" fillId="31" borderId="3" xfId="0" applyNumberFormat="1" applyFill="1" applyBorder="1"/>
    <xf numFmtId="188" fontId="0" fillId="31" borderId="5" xfId="0" applyNumberFormat="1" applyFill="1" applyBorder="1"/>
    <xf numFmtId="165" fontId="0" fillId="31" borderId="5" xfId="4" applyFont="1" applyFill="1" applyBorder="1"/>
    <xf numFmtId="0" fontId="5" fillId="14" borderId="43" xfId="0" applyFont="1" applyFill="1" applyBorder="1" applyAlignment="1">
      <alignment horizontal="center"/>
    </xf>
    <xf numFmtId="165" fontId="0" fillId="14" borderId="26" xfId="4" applyFont="1" applyFill="1" applyBorder="1"/>
    <xf numFmtId="0" fontId="44" fillId="14" borderId="0" xfId="5" applyFont="1" applyFill="1" applyAlignment="1">
      <alignment horizontal="center" vertical="center" wrapText="1"/>
    </xf>
    <xf numFmtId="165" fontId="7" fillId="14" borderId="5" xfId="4" applyFont="1" applyFill="1" applyBorder="1"/>
    <xf numFmtId="0" fontId="44" fillId="17" borderId="0" xfId="5" applyFont="1" applyFill="1"/>
    <xf numFmtId="164" fontId="44" fillId="17" borderId="0" xfId="5" applyNumberFormat="1" applyFont="1" applyFill="1"/>
    <xf numFmtId="2" fontId="7" fillId="14" borderId="0" xfId="0" applyNumberFormat="1" applyFont="1" applyFill="1" applyAlignment="1">
      <alignment vertical="center"/>
    </xf>
    <xf numFmtId="165" fontId="7" fillId="14" borderId="5" xfId="4" applyFont="1" applyFill="1" applyBorder="1" applyAlignment="1">
      <alignment vertical="center"/>
    </xf>
    <xf numFmtId="0" fontId="99" fillId="17" borderId="5" xfId="5" applyFont="1" applyFill="1" applyBorder="1" applyAlignment="1"/>
    <xf numFmtId="0" fontId="44" fillId="17" borderId="5" xfId="5" applyFont="1" applyFill="1" applyBorder="1" applyAlignment="1"/>
    <xf numFmtId="165" fontId="44" fillId="0" borderId="5" xfId="4" applyFont="1" applyBorder="1"/>
    <xf numFmtId="0" fontId="44" fillId="0" borderId="5" xfId="5" applyFont="1" applyBorder="1"/>
    <xf numFmtId="0" fontId="44" fillId="17" borderId="5" xfId="5" applyFont="1" applyFill="1" applyBorder="1"/>
    <xf numFmtId="2" fontId="44" fillId="17" borderId="5" xfId="5" applyNumberFormat="1" applyFont="1" applyFill="1" applyBorder="1"/>
    <xf numFmtId="44" fontId="44" fillId="0" borderId="0" xfId="5" applyNumberFormat="1" applyFont="1"/>
    <xf numFmtId="0" fontId="83" fillId="14" borderId="0" xfId="5" applyFont="1" applyFill="1"/>
    <xf numFmtId="0" fontId="44" fillId="14" borderId="0" xfId="5" applyFont="1" applyFill="1" applyAlignment="1">
      <alignment vertical="center"/>
    </xf>
    <xf numFmtId="0" fontId="44" fillId="14" borderId="0" xfId="5" applyFont="1" applyFill="1" applyAlignment="1">
      <alignment horizontal="center" vertical="center"/>
    </xf>
    <xf numFmtId="188" fontId="5" fillId="14" borderId="26" xfId="0" applyNumberFormat="1" applyFont="1" applyFill="1" applyBorder="1"/>
    <xf numFmtId="188" fontId="5" fillId="14" borderId="27" xfId="0" applyNumberFormat="1" applyFont="1" applyFill="1" applyBorder="1"/>
    <xf numFmtId="188" fontId="5" fillId="14" borderId="46" xfId="0" applyNumberFormat="1" applyFont="1" applyFill="1" applyBorder="1"/>
    <xf numFmtId="167" fontId="41" fillId="31" borderId="0" xfId="2" applyNumberFormat="1" applyFont="1" applyFill="1" applyBorder="1" applyAlignment="1">
      <alignment vertical="center"/>
    </xf>
    <xf numFmtId="9" fontId="70" fillId="31" borderId="0" xfId="9" applyFont="1" applyFill="1" applyBorder="1" applyAlignment="1">
      <alignment horizontal="center" vertical="center"/>
    </xf>
    <xf numFmtId="167" fontId="70" fillId="31" borderId="0" xfId="2" applyNumberFormat="1" applyFont="1" applyFill="1" applyBorder="1" applyAlignment="1">
      <alignment vertical="center"/>
    </xf>
    <xf numFmtId="167" fontId="7" fillId="31" borderId="0" xfId="2" applyNumberFormat="1" applyFont="1" applyFill="1" applyBorder="1"/>
    <xf numFmtId="167" fontId="7" fillId="0" borderId="0" xfId="2" applyNumberFormat="1" applyFont="1" applyBorder="1"/>
    <xf numFmtId="0" fontId="44" fillId="17" borderId="0" xfId="5" applyFont="1" applyFill="1" applyAlignment="1">
      <alignment horizontal="center" vertical="center"/>
    </xf>
    <xf numFmtId="194" fontId="0" fillId="0" borderId="0" xfId="0" applyNumberFormat="1"/>
    <xf numFmtId="1" fontId="44" fillId="14" borderId="0" xfId="5" applyNumberFormat="1" applyFont="1" applyFill="1" applyAlignment="1">
      <alignment horizontal="center" vertical="center"/>
    </xf>
    <xf numFmtId="0" fontId="7" fillId="0" borderId="0" xfId="0" applyFont="1" applyBorder="1" applyAlignment="1"/>
    <xf numFmtId="188" fontId="0" fillId="31" borderId="0" xfId="0" applyNumberFormat="1" applyFill="1" applyBorder="1"/>
    <xf numFmtId="0" fontId="70" fillId="0" borderId="0" xfId="0" applyFont="1" applyFill="1" applyBorder="1" applyAlignment="1">
      <alignment horizontal="center" vertical="center"/>
    </xf>
    <xf numFmtId="191" fontId="0" fillId="31" borderId="0" xfId="0" applyNumberFormat="1" applyFill="1" applyBorder="1"/>
    <xf numFmtId="0" fontId="105" fillId="0" borderId="5" xfId="0" applyFont="1" applyBorder="1"/>
    <xf numFmtId="0" fontId="105" fillId="0" borderId="14" xfId="0" applyFont="1" applyBorder="1"/>
    <xf numFmtId="188" fontId="0" fillId="24" borderId="70" xfId="0" applyNumberFormat="1" applyFill="1" applyBorder="1"/>
    <xf numFmtId="188" fontId="0" fillId="24" borderId="43" xfId="0" applyNumberFormat="1" applyFill="1" applyBorder="1"/>
    <xf numFmtId="188" fontId="0" fillId="24" borderId="71" xfId="0" applyNumberFormat="1" applyFill="1" applyBorder="1"/>
    <xf numFmtId="0" fontId="49" fillId="24" borderId="72" xfId="0" applyNumberFormat="1" applyFont="1" applyFill="1" applyBorder="1" applyAlignment="1">
      <alignment horizontal="center"/>
    </xf>
    <xf numFmtId="17" fontId="84" fillId="24" borderId="73" xfId="0" applyNumberFormat="1" applyFont="1" applyFill="1" applyBorder="1" applyAlignment="1">
      <alignment horizontal="center" vertical="center"/>
    </xf>
    <xf numFmtId="17" fontId="84" fillId="24" borderId="41" xfId="0" applyNumberFormat="1" applyFont="1" applyFill="1" applyBorder="1" applyAlignment="1">
      <alignment horizontal="center" vertical="center"/>
    </xf>
    <xf numFmtId="17" fontId="84" fillId="24" borderId="74" xfId="0" applyNumberFormat="1" applyFont="1" applyFill="1" applyBorder="1" applyAlignment="1">
      <alignment horizontal="center" vertical="center"/>
    </xf>
    <xf numFmtId="0" fontId="5" fillId="0" borderId="0" xfId="0" applyFont="1" applyAlignment="1">
      <alignment horizontal="center"/>
    </xf>
    <xf numFmtId="0" fontId="5" fillId="0" borderId="5" xfId="0" applyFont="1" applyBorder="1" applyAlignment="1">
      <alignment wrapText="1"/>
    </xf>
    <xf numFmtId="0" fontId="0" fillId="0" borderId="5" xfId="0" applyBorder="1" applyAlignment="1">
      <alignment horizontal="center" wrapText="1"/>
    </xf>
    <xf numFmtId="9" fontId="0" fillId="0" borderId="5" xfId="0" applyNumberFormat="1" applyBorder="1" applyAlignment="1">
      <alignment horizontal="center" wrapText="1"/>
    </xf>
    <xf numFmtId="0" fontId="0" fillId="0" borderId="0" xfId="0" applyAlignment="1">
      <alignment horizontal="center" wrapText="1"/>
    </xf>
    <xf numFmtId="191" fontId="0" fillId="31" borderId="5" xfId="0" applyNumberFormat="1" applyFill="1" applyBorder="1"/>
    <xf numFmtId="188" fontId="5" fillId="31" borderId="5" xfId="0" applyNumberFormat="1" applyFont="1" applyFill="1" applyBorder="1"/>
    <xf numFmtId="191" fontId="0" fillId="31" borderId="3" xfId="0" applyNumberFormat="1" applyFill="1" applyBorder="1"/>
    <xf numFmtId="188" fontId="5" fillId="31" borderId="3" xfId="0" applyNumberFormat="1" applyFont="1" applyFill="1" applyBorder="1"/>
    <xf numFmtId="188" fontId="0" fillId="14" borderId="5" xfId="0" applyNumberFormat="1" applyFill="1" applyBorder="1"/>
    <xf numFmtId="191" fontId="0" fillId="18" borderId="26" xfId="0" applyNumberFormat="1" applyFill="1" applyBorder="1"/>
    <xf numFmtId="0" fontId="7" fillId="14" borderId="42" xfId="0" applyFont="1" applyFill="1" applyBorder="1" applyAlignment="1">
      <alignment horizontal="center"/>
    </xf>
    <xf numFmtId="0" fontId="7" fillId="14" borderId="43" xfId="0" applyFont="1" applyFill="1" applyBorder="1" applyAlignment="1">
      <alignment horizontal="center"/>
    </xf>
    <xf numFmtId="0" fontId="7" fillId="18" borderId="51" xfId="0" applyFont="1" applyFill="1" applyBorder="1" applyAlignment="1">
      <alignment horizontal="center"/>
    </xf>
    <xf numFmtId="165" fontId="7" fillId="14" borderId="50" xfId="4" applyFont="1" applyFill="1" applyBorder="1" applyAlignment="1">
      <alignment vertical="center"/>
    </xf>
    <xf numFmtId="0" fontId="7" fillId="14" borderId="10" xfId="0" applyFont="1" applyFill="1" applyBorder="1" applyAlignment="1">
      <alignment horizontal="center"/>
    </xf>
    <xf numFmtId="0" fontId="41" fillId="0" borderId="52" xfId="0" applyFont="1" applyFill="1" applyBorder="1" applyAlignment="1">
      <alignment horizontal="center" vertical="center"/>
    </xf>
    <xf numFmtId="0" fontId="42" fillId="0" borderId="75" xfId="0" applyFont="1" applyFill="1" applyBorder="1" applyAlignment="1">
      <alignment vertical="center"/>
    </xf>
    <xf numFmtId="0" fontId="42" fillId="0" borderId="76" xfId="0" applyFont="1" applyFill="1" applyBorder="1" applyAlignment="1">
      <alignment vertical="center"/>
    </xf>
    <xf numFmtId="0" fontId="41" fillId="0" borderId="48" xfId="0" applyFont="1" applyFill="1" applyBorder="1" applyAlignment="1">
      <alignment horizontal="center" vertical="center"/>
    </xf>
    <xf numFmtId="0" fontId="42" fillId="0" borderId="1" xfId="0" applyFont="1" applyFill="1" applyBorder="1" applyAlignment="1">
      <alignment vertical="center"/>
    </xf>
    <xf numFmtId="0" fontId="42" fillId="0" borderId="77" xfId="0" applyFont="1" applyFill="1" applyBorder="1" applyAlignment="1">
      <alignment vertical="center"/>
    </xf>
    <xf numFmtId="0" fontId="41" fillId="0" borderId="53" xfId="0" applyFont="1" applyFill="1" applyBorder="1" applyAlignment="1">
      <alignment horizontal="center" vertical="center"/>
    </xf>
    <xf numFmtId="0" fontId="42" fillId="0" borderId="78" xfId="0" applyFont="1" applyFill="1" applyBorder="1" applyAlignment="1">
      <alignment vertical="center"/>
    </xf>
    <xf numFmtId="0" fontId="42" fillId="0" borderId="79" xfId="0" applyFont="1" applyFill="1" applyBorder="1" applyAlignment="1">
      <alignment vertical="center"/>
    </xf>
    <xf numFmtId="169" fontId="0" fillId="0" borderId="5" xfId="20" applyNumberFormat="1" applyFont="1" applyBorder="1" applyAlignment="1">
      <alignment horizontal="center" vertical="center"/>
    </xf>
    <xf numFmtId="188" fontId="5" fillId="31" borderId="0" xfId="0" applyNumberFormat="1" applyFont="1" applyFill="1" applyBorder="1"/>
    <xf numFmtId="165" fontId="0" fillId="31" borderId="0" xfId="4" applyFont="1" applyFill="1" applyBorder="1"/>
    <xf numFmtId="0" fontId="0" fillId="31" borderId="0" xfId="0" applyFill="1"/>
    <xf numFmtId="191" fontId="0" fillId="14" borderId="3" xfId="0" applyNumberFormat="1" applyFill="1" applyBorder="1"/>
    <xf numFmtId="165" fontId="5" fillId="0" borderId="5" xfId="4" applyFont="1" applyBorder="1"/>
    <xf numFmtId="0" fontId="44" fillId="17" borderId="0" xfId="5" applyFont="1" applyFill="1" applyAlignment="1">
      <alignment horizontal="center" vertical="center" wrapText="1"/>
    </xf>
    <xf numFmtId="1" fontId="44" fillId="0" borderId="0" xfId="4" applyNumberFormat="1" applyFont="1"/>
    <xf numFmtId="14" fontId="44" fillId="0" borderId="0" xfId="4" applyNumberFormat="1" applyFont="1"/>
    <xf numFmtId="0" fontId="44" fillId="0" borderId="0" xfId="4" applyNumberFormat="1" applyFont="1"/>
    <xf numFmtId="190" fontId="44" fillId="31" borderId="0" xfId="5" applyNumberFormat="1" applyFont="1" applyFill="1"/>
    <xf numFmtId="195" fontId="49" fillId="31" borderId="0" xfId="5" applyNumberFormat="1" applyFont="1" applyFill="1"/>
    <xf numFmtId="164" fontId="49" fillId="17" borderId="0" xfId="5" applyNumberFormat="1" applyFont="1" applyFill="1"/>
    <xf numFmtId="0" fontId="49" fillId="17" borderId="0" xfId="5" applyFont="1" applyFill="1"/>
    <xf numFmtId="165" fontId="44" fillId="0" borderId="0" xfId="4" applyFont="1" applyAlignment="1"/>
    <xf numFmtId="165" fontId="49" fillId="0" borderId="21" xfId="4" applyFont="1" applyBorder="1"/>
    <xf numFmtId="0" fontId="44" fillId="0" borderId="0" xfId="5" applyFont="1" applyAlignment="1">
      <alignment horizontal="center" wrapText="1"/>
    </xf>
    <xf numFmtId="164" fontId="49" fillId="0" borderId="10" xfId="5" applyNumberFormat="1" applyFont="1" applyBorder="1" applyAlignment="1"/>
    <xf numFmtId="165" fontId="44" fillId="0" borderId="0" xfId="4" applyFont="1" applyAlignment="1">
      <alignment horizontal="right"/>
    </xf>
    <xf numFmtId="0" fontId="69" fillId="0" borderId="0" xfId="0" applyFont="1" applyFill="1" applyBorder="1" applyAlignment="1">
      <alignment vertical="center" wrapText="1"/>
    </xf>
    <xf numFmtId="0" fontId="69" fillId="0" borderId="39" xfId="0" applyFont="1" applyFill="1" applyBorder="1" applyAlignment="1">
      <alignment vertical="center" wrapText="1"/>
    </xf>
    <xf numFmtId="188" fontId="0" fillId="72" borderId="1" xfId="0" applyNumberFormat="1" applyFill="1" applyBorder="1"/>
    <xf numFmtId="165" fontId="5" fillId="14" borderId="5" xfId="4" applyFont="1" applyFill="1" applyBorder="1" applyAlignment="1">
      <alignment vertical="center" wrapText="1"/>
    </xf>
    <xf numFmtId="165" fontId="5" fillId="14" borderId="5" xfId="4" applyFont="1" applyFill="1" applyBorder="1" applyAlignment="1"/>
    <xf numFmtId="4" fontId="0" fillId="0" borderId="14" xfId="0" applyNumberFormat="1" applyFill="1" applyBorder="1"/>
    <xf numFmtId="0" fontId="44" fillId="0" borderId="34" xfId="5" applyFont="1" applyBorder="1"/>
    <xf numFmtId="0" fontId="7" fillId="0" borderId="35" xfId="0" applyFont="1" applyBorder="1"/>
    <xf numFmtId="4" fontId="7" fillId="0" borderId="36" xfId="0" applyNumberFormat="1" applyFont="1" applyBorder="1"/>
    <xf numFmtId="0" fontId="44" fillId="0" borderId="36" xfId="5" applyFont="1" applyBorder="1"/>
    <xf numFmtId="0" fontId="44" fillId="0" borderId="37" xfId="5" applyFont="1" applyBorder="1"/>
    <xf numFmtId="0" fontId="44" fillId="0" borderId="65" xfId="5" applyFont="1" applyBorder="1"/>
    <xf numFmtId="0" fontId="14" fillId="0" borderId="62" xfId="0" applyFont="1" applyBorder="1" applyAlignment="1">
      <alignment horizontal="center"/>
    </xf>
    <xf numFmtId="0" fontId="14" fillId="0" borderId="45" xfId="0" applyFont="1" applyBorder="1" applyAlignment="1">
      <alignment horizontal="center"/>
    </xf>
    <xf numFmtId="0" fontId="14" fillId="0" borderId="45" xfId="5" applyFont="1" applyBorder="1" applyAlignment="1">
      <alignment horizontal="center"/>
    </xf>
    <xf numFmtId="0" fontId="14" fillId="0" borderId="22" xfId="5" applyFont="1" applyBorder="1" applyAlignment="1">
      <alignment horizontal="center"/>
    </xf>
    <xf numFmtId="165" fontId="0" fillId="0" borderId="5" xfId="4" applyFont="1" applyFill="1" applyBorder="1"/>
    <xf numFmtId="0" fontId="14" fillId="0" borderId="0" xfId="5" applyFont="1" applyBorder="1" applyAlignment="1">
      <alignment horizontal="center"/>
    </xf>
    <xf numFmtId="0" fontId="14" fillId="0" borderId="22" xfId="0" applyFont="1" applyBorder="1" applyAlignment="1">
      <alignment horizontal="center"/>
    </xf>
    <xf numFmtId="165" fontId="0" fillId="0" borderId="65" xfId="4" applyFont="1" applyFill="1" applyBorder="1"/>
    <xf numFmtId="165" fontId="0" fillId="0" borderId="34" xfId="4" applyFont="1" applyFill="1" applyBorder="1"/>
    <xf numFmtId="0" fontId="14" fillId="0" borderId="0" xfId="0" applyFont="1" applyBorder="1" applyAlignment="1">
      <alignment horizontal="center"/>
    </xf>
    <xf numFmtId="165" fontId="0" fillId="0" borderId="0" xfId="4" applyFont="1" applyFill="1" applyBorder="1"/>
    <xf numFmtId="165" fontId="5" fillId="0" borderId="34" xfId="4" applyFont="1" applyFill="1" applyBorder="1"/>
    <xf numFmtId="4" fontId="0" fillId="71" borderId="15" xfId="0" applyNumberFormat="1" applyFill="1" applyBorder="1"/>
    <xf numFmtId="0" fontId="0" fillId="72" borderId="5" xfId="0" applyFill="1" applyBorder="1" applyAlignment="1">
      <alignment wrapText="1"/>
    </xf>
    <xf numFmtId="0" fontId="39" fillId="72" borderId="5" xfId="0" applyFont="1" applyFill="1" applyBorder="1" applyAlignment="1">
      <alignment wrapText="1"/>
    </xf>
    <xf numFmtId="0" fontId="39" fillId="72" borderId="1" xfId="0" applyFont="1" applyFill="1" applyBorder="1" applyAlignment="1">
      <alignment wrapText="1"/>
    </xf>
    <xf numFmtId="0" fontId="0" fillId="0" borderId="0" xfId="0" applyFill="1" applyBorder="1" applyAlignment="1">
      <alignment horizontal="center"/>
    </xf>
    <xf numFmtId="4" fontId="0" fillId="0" borderId="0" xfId="0" applyNumberFormat="1" applyBorder="1"/>
    <xf numFmtId="4" fontId="39" fillId="0" borderId="0" xfId="0" applyNumberFormat="1" applyFont="1" applyBorder="1"/>
    <xf numFmtId="0" fontId="0" fillId="31" borderId="0" xfId="0" applyFill="1" applyBorder="1" applyAlignment="1">
      <alignment horizontal="center"/>
    </xf>
    <xf numFmtId="0" fontId="5" fillId="31" borderId="0" xfId="0" applyFont="1" applyFill="1" applyBorder="1" applyAlignment="1">
      <alignment horizontal="center"/>
    </xf>
    <xf numFmtId="4" fontId="0" fillId="31" borderId="0" xfId="0" applyNumberFormat="1" applyFill="1" applyBorder="1"/>
    <xf numFmtId="4" fontId="39" fillId="31" borderId="0" xfId="0" applyNumberFormat="1" applyFont="1" applyFill="1" applyBorder="1"/>
    <xf numFmtId="4" fontId="0" fillId="31" borderId="0" xfId="0" applyNumberFormat="1" applyFill="1"/>
    <xf numFmtId="9" fontId="70" fillId="73" borderId="0" xfId="9" applyFont="1" applyFill="1" applyBorder="1" applyAlignment="1">
      <alignment horizontal="center" vertical="center"/>
    </xf>
    <xf numFmtId="0" fontId="30" fillId="0" borderId="64" xfId="0" applyFont="1" applyBorder="1"/>
    <xf numFmtId="165" fontId="30" fillId="0" borderId="65" xfId="4" applyFont="1" applyFill="1" applyBorder="1"/>
    <xf numFmtId="0" fontId="30" fillId="0" borderId="33" xfId="0" applyFont="1" applyBorder="1"/>
    <xf numFmtId="165" fontId="30" fillId="0" borderId="34" xfId="4" applyFont="1" applyFill="1" applyBorder="1"/>
    <xf numFmtId="165" fontId="30" fillId="0" borderId="67" xfId="4" applyFont="1" applyFill="1" applyBorder="1"/>
    <xf numFmtId="165" fontId="14" fillId="0" borderId="10" xfId="4" applyFont="1" applyBorder="1"/>
    <xf numFmtId="0" fontId="30" fillId="0" borderId="66" xfId="0" applyFont="1" applyFill="1" applyBorder="1"/>
    <xf numFmtId="0" fontId="107" fillId="72" borderId="52" xfId="0" applyFont="1" applyFill="1" applyBorder="1" applyAlignment="1">
      <alignment wrapText="1"/>
    </xf>
    <xf numFmtId="0" fontId="107" fillId="72" borderId="53" xfId="0" applyFont="1" applyFill="1" applyBorder="1" applyAlignment="1">
      <alignment wrapText="1"/>
    </xf>
    <xf numFmtId="165" fontId="0" fillId="0" borderId="67" xfId="4" applyFont="1" applyFill="1" applyBorder="1"/>
    <xf numFmtId="165" fontId="7" fillId="0" borderId="10" xfId="4" applyFont="1" applyBorder="1"/>
    <xf numFmtId="165" fontId="7" fillId="0" borderId="29" xfId="4" applyFont="1" applyBorder="1"/>
    <xf numFmtId="0" fontId="0" fillId="72" borderId="14" xfId="0" applyFill="1" applyBorder="1"/>
    <xf numFmtId="4" fontId="0" fillId="71" borderId="14" xfId="0" applyNumberFormat="1" applyFill="1" applyBorder="1"/>
    <xf numFmtId="0" fontId="108" fillId="0" borderId="0" xfId="0" applyFont="1"/>
    <xf numFmtId="0" fontId="82" fillId="0" borderId="0" xfId="0" applyFont="1"/>
    <xf numFmtId="0" fontId="80" fillId="0" borderId="0" xfId="0" applyFont="1"/>
    <xf numFmtId="0" fontId="80" fillId="18" borderId="10" xfId="0" applyFont="1" applyFill="1" applyBorder="1" applyAlignment="1">
      <alignment horizontal="center" vertical="center"/>
    </xf>
    <xf numFmtId="0" fontId="82" fillId="0" borderId="51" xfId="0" applyFont="1" applyBorder="1"/>
    <xf numFmtId="196" fontId="82" fillId="0" borderId="51" xfId="2" applyNumberFormat="1" applyFont="1" applyBorder="1" applyAlignment="1">
      <alignment horizontal="center"/>
    </xf>
    <xf numFmtId="0" fontId="82" fillId="0" borderId="28" xfId="0" applyFont="1" applyBorder="1"/>
    <xf numFmtId="196" fontId="44" fillId="0" borderId="28" xfId="2" applyNumberFormat="1" applyFont="1" applyBorder="1" applyAlignment="1">
      <alignment horizontal="center"/>
    </xf>
    <xf numFmtId="196" fontId="0" fillId="0" borderId="0" xfId="0" applyNumberFormat="1"/>
    <xf numFmtId="2" fontId="44" fillId="0" borderId="0" xfId="5" applyNumberFormat="1" applyFont="1" applyAlignment="1">
      <alignment horizontal="center"/>
    </xf>
    <xf numFmtId="169" fontId="7" fillId="0" borderId="5" xfId="9" applyNumberFormat="1" applyFont="1" applyBorder="1"/>
    <xf numFmtId="196" fontId="82" fillId="0" borderId="0" xfId="0" applyNumberFormat="1" applyFont="1"/>
    <xf numFmtId="10" fontId="82" fillId="0" borderId="0" xfId="9" applyNumberFormat="1" applyFont="1"/>
    <xf numFmtId="165" fontId="44" fillId="14" borderId="0" xfId="4" applyFont="1" applyFill="1"/>
    <xf numFmtId="0" fontId="7" fillId="0" borderId="0" xfId="5" applyFont="1" applyBorder="1"/>
    <xf numFmtId="165" fontId="7" fillId="0" borderId="0" xfId="4" applyFont="1" applyBorder="1"/>
    <xf numFmtId="169" fontId="0" fillId="0" borderId="0" xfId="9" applyNumberFormat="1" applyFont="1" applyAlignment="1">
      <alignment vertical="center"/>
    </xf>
    <xf numFmtId="165" fontId="0" fillId="14" borderId="14" xfId="4" applyFont="1" applyFill="1" applyBorder="1"/>
    <xf numFmtId="0" fontId="0" fillId="14" borderId="15" xfId="4" applyNumberFormat="1" applyFont="1" applyFill="1" applyBorder="1"/>
    <xf numFmtId="0" fontId="5" fillId="14" borderId="15" xfId="5" applyFill="1" applyBorder="1"/>
    <xf numFmtId="188" fontId="0" fillId="31" borderId="6" xfId="0" applyNumberFormat="1" applyFill="1" applyBorder="1"/>
    <xf numFmtId="165" fontId="5" fillId="31" borderId="5" xfId="4" applyFont="1" applyFill="1" applyBorder="1" applyAlignment="1">
      <alignment vertical="center" wrapText="1"/>
    </xf>
    <xf numFmtId="165" fontId="5" fillId="31" borderId="5" xfId="4" applyFont="1" applyFill="1" applyBorder="1" applyAlignment="1"/>
    <xf numFmtId="188" fontId="0" fillId="14" borderId="6" xfId="0" applyNumberFormat="1" applyFill="1" applyBorder="1"/>
    <xf numFmtId="0" fontId="5" fillId="0" borderId="5" xfId="0" applyFont="1" applyBorder="1"/>
    <xf numFmtId="0" fontId="5" fillId="3" borderId="5" xfId="0" applyFont="1" applyFill="1" applyBorder="1"/>
    <xf numFmtId="0" fontId="7" fillId="0" borderId="5" xfId="0" applyFont="1" applyFill="1" applyBorder="1"/>
    <xf numFmtId="169" fontId="5" fillId="0" borderId="0" xfId="0" applyNumberFormat="1" applyFont="1"/>
    <xf numFmtId="169" fontId="7" fillId="7" borderId="5" xfId="0" applyNumberFormat="1" applyFont="1" applyFill="1" applyBorder="1"/>
    <xf numFmtId="44" fontId="0" fillId="0" borderId="0" xfId="0" applyNumberFormat="1"/>
    <xf numFmtId="0" fontId="83" fillId="0" borderId="0" xfId="5" applyFont="1" applyAlignment="1">
      <alignment horizontal="left"/>
    </xf>
    <xf numFmtId="43" fontId="0" fillId="0" borderId="0" xfId="0" applyNumberFormat="1"/>
    <xf numFmtId="0" fontId="44" fillId="0" borderId="26" xfId="0" applyFont="1" applyBorder="1"/>
    <xf numFmtId="196" fontId="44" fillId="0" borderId="26" xfId="2" applyNumberFormat="1" applyFont="1" applyBorder="1"/>
    <xf numFmtId="0" fontId="44" fillId="0" borderId="27" xfId="0" applyFont="1" applyBorder="1"/>
    <xf numFmtId="196" fontId="44" fillId="0" borderId="27" xfId="2" applyNumberFormat="1" applyFont="1" applyBorder="1"/>
    <xf numFmtId="0" fontId="44" fillId="0" borderId="46" xfId="0" applyFont="1" applyBorder="1"/>
    <xf numFmtId="196" fontId="44" fillId="0" borderId="46" xfId="2" applyNumberFormat="1" applyFont="1" applyBorder="1"/>
    <xf numFmtId="0" fontId="82" fillId="0" borderId="30" xfId="0" applyFont="1" applyBorder="1"/>
    <xf numFmtId="0" fontId="82" fillId="0" borderId="33" xfId="0" applyFont="1" applyBorder="1"/>
    <xf numFmtId="196" fontId="44" fillId="0" borderId="34" xfId="2" applyNumberFormat="1" applyFont="1" applyBorder="1" applyAlignment="1">
      <alignment horizontal="center"/>
    </xf>
    <xf numFmtId="196" fontId="82" fillId="0" borderId="34" xfId="2" applyNumberFormat="1" applyFont="1" applyBorder="1"/>
    <xf numFmtId="0" fontId="44" fillId="0" borderId="33" xfId="0" applyFont="1" applyBorder="1"/>
    <xf numFmtId="0" fontId="82" fillId="0" borderId="35" xfId="0" applyFont="1" applyFill="1" applyBorder="1"/>
    <xf numFmtId="197" fontId="110" fillId="0" borderId="0" xfId="0" applyNumberFormat="1" applyFont="1"/>
    <xf numFmtId="197" fontId="110" fillId="0" borderId="5" xfId="0" applyNumberFormat="1" applyFont="1" applyBorder="1"/>
    <xf numFmtId="0" fontId="5" fillId="0" borderId="36" xfId="0" applyFont="1" applyBorder="1" applyAlignment="1">
      <alignment horizontal="center" vertical="center"/>
    </xf>
    <xf numFmtId="0" fontId="5" fillId="0" borderId="36" xfId="0" applyFont="1" applyBorder="1" applyAlignment="1">
      <alignment horizontal="center" vertical="center" wrapText="1"/>
    </xf>
    <xf numFmtId="17" fontId="0" fillId="0" borderId="36" xfId="0" applyNumberFormat="1" applyBorder="1" applyAlignment="1">
      <alignment horizontal="center" vertical="center"/>
    </xf>
    <xf numFmtId="165" fontId="87" fillId="18" borderId="36" xfId="4" applyFont="1" applyFill="1" applyBorder="1" applyAlignment="1">
      <alignment horizontal="center" vertical="center"/>
    </xf>
    <xf numFmtId="0" fontId="0" fillId="0" borderId="0" xfId="0" applyNumberFormat="1" applyAlignment="1">
      <alignment horizontal="center" vertical="center"/>
    </xf>
    <xf numFmtId="165" fontId="52" fillId="0" borderId="80" xfId="4" applyFont="1" applyFill="1" applyBorder="1" applyAlignment="1">
      <alignment horizontal="center" vertical="center"/>
    </xf>
    <xf numFmtId="165" fontId="87" fillId="18" borderId="80" xfId="4" applyFont="1" applyFill="1" applyBorder="1" applyAlignment="1">
      <alignment horizontal="center" vertical="center"/>
    </xf>
    <xf numFmtId="3" fontId="52" fillId="0" borderId="36" xfId="4" applyNumberFormat="1" applyFont="1" applyBorder="1" applyAlignment="1">
      <alignment horizontal="center" vertical="center"/>
    </xf>
    <xf numFmtId="4" fontId="52" fillId="0" borderId="36" xfId="4" applyNumberFormat="1" applyFont="1" applyBorder="1" applyAlignment="1">
      <alignment horizontal="center" vertical="center"/>
    </xf>
    <xf numFmtId="165" fontId="51" fillId="18" borderId="36" xfId="4" applyFont="1" applyFill="1" applyBorder="1" applyAlignment="1">
      <alignment vertical="center"/>
    </xf>
    <xf numFmtId="167" fontId="7" fillId="0" borderId="3" xfId="2" applyNumberFormat="1" applyFont="1" applyFill="1" applyBorder="1" applyAlignment="1">
      <alignment vertical="center"/>
    </xf>
    <xf numFmtId="166" fontId="7" fillId="0" borderId="3" xfId="2" applyNumberFormat="1" applyFont="1" applyFill="1" applyBorder="1" applyAlignment="1">
      <alignment vertical="center"/>
    </xf>
    <xf numFmtId="9" fontId="5" fillId="0" borderId="3" xfId="9" applyFont="1" applyFill="1" applyBorder="1" applyAlignment="1">
      <alignment vertical="center"/>
    </xf>
    <xf numFmtId="10" fontId="5" fillId="0" borderId="3" xfId="9" applyNumberFormat="1" applyFont="1" applyFill="1" applyBorder="1" applyAlignment="1">
      <alignment vertical="center"/>
    </xf>
    <xf numFmtId="165" fontId="44" fillId="17" borderId="0" xfId="4" applyFont="1" applyFill="1"/>
    <xf numFmtId="0" fontId="44" fillId="14" borderId="0" xfId="5" applyFont="1" applyFill="1"/>
    <xf numFmtId="0" fontId="5" fillId="31" borderId="5" xfId="0" applyFont="1" applyFill="1" applyBorder="1" applyAlignment="1">
      <alignment horizontal="center" wrapText="1"/>
    </xf>
    <xf numFmtId="0" fontId="5" fillId="0" borderId="5" xfId="0" applyFont="1" applyBorder="1" applyAlignment="1">
      <alignment horizontal="center" wrapText="1"/>
    </xf>
    <xf numFmtId="44" fontId="0" fillId="0" borderId="5" xfId="0" applyNumberFormat="1" applyBorder="1"/>
    <xf numFmtId="165" fontId="44" fillId="0" borderId="0" xfId="4" applyFont="1" applyAlignment="1">
      <alignment horizontal="center" vertical="center"/>
    </xf>
    <xf numFmtId="165" fontId="7" fillId="0" borderId="63" xfId="4" applyFont="1" applyBorder="1"/>
    <xf numFmtId="165" fontId="44" fillId="0" borderId="14" xfId="4" applyFont="1" applyBorder="1"/>
    <xf numFmtId="0" fontId="5" fillId="14" borderId="7" xfId="5" applyFill="1" applyBorder="1"/>
    <xf numFmtId="165" fontId="0" fillId="14" borderId="6" xfId="4" applyFont="1" applyFill="1" applyBorder="1"/>
    <xf numFmtId="196" fontId="82" fillId="0" borderId="27" xfId="2" applyNumberFormat="1" applyFont="1" applyBorder="1" applyAlignment="1">
      <alignment horizontal="center"/>
    </xf>
    <xf numFmtId="198" fontId="0" fillId="0" borderId="0" xfId="0" applyNumberFormat="1" applyAlignment="1">
      <alignment vertical="center"/>
    </xf>
    <xf numFmtId="196" fontId="80" fillId="18" borderId="10" xfId="2" applyNumberFormat="1" applyFont="1" applyFill="1" applyBorder="1" applyAlignment="1">
      <alignment horizontal="center" vertical="center"/>
    </xf>
    <xf numFmtId="0" fontId="82" fillId="0" borderId="26" xfId="0" applyFont="1" applyBorder="1"/>
    <xf numFmtId="196" fontId="82" fillId="0" borderId="26" xfId="2" applyNumberFormat="1" applyFont="1" applyBorder="1" applyAlignment="1">
      <alignment horizontal="center"/>
    </xf>
    <xf numFmtId="0" fontId="82" fillId="0" borderId="27" xfId="0" applyFont="1" applyBorder="1"/>
    <xf numFmtId="196" fontId="44" fillId="0" borderId="27" xfId="2" applyNumberFormat="1" applyFont="1" applyBorder="1" applyAlignment="1">
      <alignment horizontal="center"/>
    </xf>
    <xf numFmtId="0" fontId="109" fillId="0" borderId="27" xfId="0" applyFont="1" applyBorder="1"/>
    <xf numFmtId="196" fontId="111" fillId="0" borderId="27" xfId="2" applyNumberFormat="1" applyFont="1" applyBorder="1" applyAlignment="1">
      <alignment horizontal="center"/>
    </xf>
    <xf numFmtId="0" fontId="109" fillId="0" borderId="0" xfId="0" applyFont="1"/>
    <xf numFmtId="0" fontId="82" fillId="0" borderId="46" xfId="0" applyFont="1" applyBorder="1"/>
    <xf numFmtId="196" fontId="44" fillId="0" borderId="46" xfId="2" applyNumberFormat="1" applyFont="1" applyBorder="1" applyAlignment="1">
      <alignment horizontal="center"/>
    </xf>
    <xf numFmtId="0" fontId="112" fillId="0" borderId="0" xfId="0" applyFont="1"/>
    <xf numFmtId="196" fontId="82" fillId="0" borderId="0" xfId="2" applyNumberFormat="1" applyFont="1"/>
    <xf numFmtId="196" fontId="44" fillId="0" borderId="0" xfId="2" applyNumberFormat="1" applyFont="1" applyBorder="1"/>
    <xf numFmtId="166" fontId="82" fillId="0" borderId="0" xfId="2" applyFont="1"/>
    <xf numFmtId="2" fontId="5" fillId="14" borderId="26" xfId="0" applyNumberFormat="1" applyFont="1" applyFill="1" applyBorder="1"/>
    <xf numFmtId="165" fontId="0" fillId="0" borderId="0" xfId="4" applyNumberFormat="1" applyFont="1"/>
    <xf numFmtId="166" fontId="82" fillId="74" borderId="5" xfId="2" applyFont="1" applyFill="1" applyBorder="1" applyAlignment="1">
      <alignment horizontal="center"/>
    </xf>
    <xf numFmtId="44" fontId="0" fillId="71" borderId="5" xfId="4" applyNumberFormat="1" applyFont="1" applyFill="1" applyBorder="1" applyAlignment="1">
      <alignment vertical="center"/>
    </xf>
    <xf numFmtId="167" fontId="7" fillId="3" borderId="27" xfId="2" applyNumberFormat="1" applyFont="1" applyFill="1" applyBorder="1" applyAlignment="1">
      <alignment vertical="center"/>
    </xf>
    <xf numFmtId="167" fontId="7" fillId="3" borderId="5" xfId="2" applyNumberFormat="1" applyFont="1" applyFill="1" applyBorder="1" applyAlignment="1">
      <alignment vertical="center"/>
    </xf>
    <xf numFmtId="164" fontId="44" fillId="14" borderId="0" xfId="5" applyNumberFormat="1" applyFont="1" applyFill="1"/>
    <xf numFmtId="44" fontId="0" fillId="0" borderId="0" xfId="0" applyNumberFormat="1" applyFill="1" applyBorder="1"/>
    <xf numFmtId="0" fontId="0" fillId="72" borderId="81" xfId="0" applyFill="1" applyBorder="1" applyAlignment="1">
      <alignment vertical="center"/>
    </xf>
    <xf numFmtId="0" fontId="0" fillId="0" borderId="70" xfId="0" applyFill="1" applyBorder="1" applyAlignment="1">
      <alignment horizontal="center" vertical="center"/>
    </xf>
    <xf numFmtId="0" fontId="5" fillId="0" borderId="70" xfId="0" applyFont="1" applyFill="1" applyBorder="1" applyAlignment="1">
      <alignment horizontal="center" vertical="center"/>
    </xf>
    <xf numFmtId="0" fontId="0" fillId="0" borderId="5" xfId="0" applyFill="1" applyBorder="1" applyAlignment="1">
      <alignment horizontal="center" vertical="center"/>
    </xf>
    <xf numFmtId="0" fontId="5" fillId="0" borderId="5" xfId="0" applyFont="1" applyFill="1" applyBorder="1" applyAlignment="1">
      <alignment horizontal="center" vertical="center"/>
    </xf>
    <xf numFmtId="0" fontId="5" fillId="72" borderId="5" xfId="0" applyFont="1" applyFill="1" applyBorder="1" applyAlignment="1">
      <alignment vertical="center"/>
    </xf>
    <xf numFmtId="0" fontId="5" fillId="72" borderId="14" xfId="0" applyFont="1" applyFill="1" applyBorder="1" applyAlignment="1">
      <alignment vertical="center"/>
    </xf>
    <xf numFmtId="0" fontId="0" fillId="0" borderId="14" xfId="0" applyFill="1" applyBorder="1" applyAlignment="1">
      <alignment horizontal="center" vertical="center"/>
    </xf>
    <xf numFmtId="165" fontId="5" fillId="0" borderId="14" xfId="4" applyFont="1" applyFill="1" applyBorder="1" applyAlignment="1">
      <alignment horizontal="center" vertical="center"/>
    </xf>
    <xf numFmtId="165" fontId="5" fillId="0" borderId="5" xfId="4" applyFont="1" applyFill="1" applyBorder="1" applyAlignment="1">
      <alignment horizontal="center" vertical="center"/>
    </xf>
    <xf numFmtId="165" fontId="0" fillId="0" borderId="5" xfId="4" applyFont="1" applyFill="1" applyBorder="1" applyAlignment="1">
      <alignment horizontal="center" vertical="center"/>
    </xf>
    <xf numFmtId="44" fontId="0" fillId="0" borderId="14" xfId="0" applyNumberFormat="1" applyFill="1" applyBorder="1" applyAlignment="1">
      <alignment horizontal="center" vertical="center"/>
    </xf>
    <xf numFmtId="197" fontId="0" fillId="0" borderId="14" xfId="0" applyNumberFormat="1" applyFill="1" applyBorder="1" applyAlignment="1">
      <alignment horizontal="center" vertical="center"/>
    </xf>
    <xf numFmtId="0" fontId="0" fillId="0" borderId="82" xfId="0" applyFill="1" applyBorder="1" applyAlignment="1">
      <alignment horizontal="center" vertical="center"/>
    </xf>
    <xf numFmtId="0" fontId="0" fillId="0" borderId="1" xfId="0" applyFill="1" applyBorder="1" applyAlignment="1">
      <alignment horizontal="center" vertical="center"/>
    </xf>
    <xf numFmtId="0" fontId="0" fillId="0" borderId="6" xfId="0" applyFill="1" applyBorder="1" applyAlignment="1">
      <alignment horizontal="center" vertical="center"/>
    </xf>
    <xf numFmtId="197" fontId="0" fillId="0" borderId="6" xfId="0" applyNumberFormat="1" applyFill="1" applyBorder="1" applyAlignment="1">
      <alignment horizontal="center" vertical="center"/>
    </xf>
    <xf numFmtId="4" fontId="0" fillId="0" borderId="6" xfId="0" applyNumberFormat="1" applyBorder="1"/>
    <xf numFmtId="4" fontId="0" fillId="0" borderId="1" xfId="0" applyNumberFormat="1" applyBorder="1"/>
    <xf numFmtId="4" fontId="39" fillId="0" borderId="1" xfId="0" applyNumberFormat="1" applyFont="1" applyBorder="1"/>
    <xf numFmtId="0" fontId="44" fillId="0" borderId="5" xfId="5" applyFont="1" applyBorder="1" applyAlignment="1">
      <alignment horizontal="center" vertical="center"/>
    </xf>
    <xf numFmtId="197" fontId="0" fillId="0" borderId="5" xfId="0" applyNumberFormat="1" applyFill="1" applyBorder="1" applyAlignment="1">
      <alignment horizontal="center" vertical="center"/>
    </xf>
    <xf numFmtId="165" fontId="82" fillId="74" borderId="5" xfId="4" applyFont="1" applyFill="1" applyBorder="1" applyAlignment="1">
      <alignment horizontal="center"/>
    </xf>
    <xf numFmtId="44" fontId="0" fillId="75" borderId="5" xfId="0" applyNumberFormat="1" applyFont="1" applyFill="1" applyBorder="1" applyAlignment="1">
      <alignment vertical="center"/>
    </xf>
    <xf numFmtId="165" fontId="7" fillId="14" borderId="22" xfId="4" applyFont="1" applyFill="1" applyBorder="1"/>
    <xf numFmtId="174" fontId="52" fillId="3" borderId="27" xfId="2" applyNumberFormat="1" applyFont="1" applyFill="1" applyBorder="1" applyAlignment="1">
      <alignment vertical="center"/>
    </xf>
    <xf numFmtId="165" fontId="7" fillId="14" borderId="27" xfId="4" applyFont="1" applyFill="1" applyBorder="1"/>
    <xf numFmtId="165" fontId="0" fillId="0" borderId="1" xfId="4" applyFont="1" applyBorder="1"/>
    <xf numFmtId="0" fontId="7" fillId="70" borderId="5" xfId="0" applyFont="1" applyFill="1" applyBorder="1" applyAlignment="1">
      <alignment horizontal="center" vertical="center" wrapText="1"/>
    </xf>
    <xf numFmtId="165" fontId="7" fillId="14" borderId="5" xfId="0" applyNumberFormat="1" applyFont="1" applyFill="1" applyBorder="1"/>
    <xf numFmtId="0" fontId="7" fillId="0" borderId="81" xfId="0" applyFont="1" applyBorder="1" applyAlignment="1">
      <alignment horizontal="center" wrapText="1"/>
    </xf>
    <xf numFmtId="0" fontId="7" fillId="0" borderId="71" xfId="0" applyFont="1" applyBorder="1" applyAlignment="1">
      <alignment horizontal="center" wrapText="1"/>
    </xf>
    <xf numFmtId="0" fontId="7" fillId="0" borderId="70" xfId="0" applyFont="1" applyFill="1" applyBorder="1" applyAlignment="1">
      <alignment horizontal="center" wrapText="1"/>
    </xf>
    <xf numFmtId="165" fontId="0" fillId="0" borderId="62" xfId="4" applyFont="1" applyBorder="1"/>
    <xf numFmtId="165" fontId="0" fillId="0" borderId="45" xfId="4" applyFont="1" applyBorder="1"/>
    <xf numFmtId="14" fontId="44" fillId="14" borderId="0" xfId="5" applyNumberFormat="1" applyFont="1" applyFill="1" applyAlignment="1">
      <alignment horizontal="right"/>
    </xf>
    <xf numFmtId="14" fontId="44" fillId="14" borderId="0" xfId="5" applyNumberFormat="1" applyFont="1" applyFill="1"/>
    <xf numFmtId="14" fontId="44" fillId="14" borderId="0" xfId="5" applyNumberFormat="1" applyFont="1" applyFill="1" applyAlignment="1"/>
    <xf numFmtId="0" fontId="44" fillId="14" borderId="0" xfId="5" applyFont="1" applyFill="1" applyAlignment="1">
      <alignment horizontal="right"/>
    </xf>
    <xf numFmtId="0" fontId="7" fillId="0" borderId="0" xfId="0" applyFont="1" applyAlignment="1">
      <alignment horizontal="center"/>
    </xf>
    <xf numFmtId="165" fontId="44" fillId="14" borderId="5" xfId="4" applyFont="1" applyFill="1" applyBorder="1" applyAlignment="1"/>
    <xf numFmtId="197" fontId="113" fillId="14" borderId="0" xfId="0" applyNumberFormat="1" applyFont="1" applyFill="1"/>
    <xf numFmtId="0" fontId="7" fillId="0" borderId="0" xfId="5" applyFont="1" applyFill="1" applyAlignment="1">
      <alignment horizontal="center" vertical="center"/>
    </xf>
    <xf numFmtId="0" fontId="7" fillId="0" borderId="4" xfId="5" applyFont="1" applyFill="1" applyBorder="1" applyAlignment="1">
      <alignment horizontal="center" vertical="center"/>
    </xf>
    <xf numFmtId="0" fontId="7" fillId="0" borderId="0" xfId="5" applyFont="1" applyFill="1" applyBorder="1" applyAlignment="1">
      <alignment horizontal="center" vertical="center"/>
    </xf>
    <xf numFmtId="0" fontId="5" fillId="0" borderId="0" xfId="5" applyFill="1" applyBorder="1" applyAlignment="1">
      <alignment horizontal="center" vertical="center"/>
    </xf>
    <xf numFmtId="0" fontId="7" fillId="0" borderId="0" xfId="5" applyFont="1" applyFill="1" applyBorder="1" applyAlignment="1">
      <alignment vertical="center"/>
    </xf>
    <xf numFmtId="0" fontId="7" fillId="0" borderId="0" xfId="5" applyFont="1" applyAlignment="1">
      <alignment horizontal="center" vertical="center"/>
    </xf>
    <xf numFmtId="0" fontId="5" fillId="0" borderId="0" xfId="5" applyBorder="1" applyAlignment="1">
      <alignment horizontal="center" vertical="center"/>
    </xf>
    <xf numFmtId="0" fontId="7" fillId="26" borderId="0" xfId="5" applyFont="1" applyFill="1" applyAlignment="1">
      <alignment horizontal="center" vertical="center"/>
    </xf>
    <xf numFmtId="0" fontId="5" fillId="0" borderId="0" xfId="5" applyFont="1" applyAlignment="1">
      <alignment horizontal="left" vertical="center" wrapText="1"/>
    </xf>
    <xf numFmtId="0" fontId="7" fillId="0" borderId="0" xfId="5" applyFont="1" applyAlignment="1">
      <alignment horizontal="center" vertical="center" wrapText="1"/>
    </xf>
    <xf numFmtId="0" fontId="7" fillId="0" borderId="0" xfId="5" applyFont="1" applyBorder="1" applyAlignment="1">
      <alignment horizontal="center" vertical="center"/>
    </xf>
    <xf numFmtId="197" fontId="113" fillId="0" borderId="0" xfId="0" applyNumberFormat="1" applyFont="1"/>
    <xf numFmtId="165" fontId="44" fillId="14" borderId="5" xfId="4" applyFont="1" applyFill="1" applyBorder="1"/>
    <xf numFmtId="167" fontId="5" fillId="14" borderId="0" xfId="0" applyNumberFormat="1" applyFont="1" applyFill="1" applyAlignment="1">
      <alignment vertical="center"/>
    </xf>
    <xf numFmtId="196" fontId="82" fillId="0" borderId="34" xfId="2" applyNumberFormat="1" applyFont="1" applyBorder="1" applyAlignment="1">
      <alignment horizontal="center"/>
    </xf>
    <xf numFmtId="196" fontId="44" fillId="0" borderId="37" xfId="0" applyNumberFormat="1" applyFont="1" applyBorder="1"/>
    <xf numFmtId="0" fontId="82" fillId="0" borderId="0" xfId="0" applyFont="1" applyFill="1" applyBorder="1"/>
    <xf numFmtId="0" fontId="7" fillId="0" borderId="0" xfId="0" applyFont="1" applyAlignment="1">
      <alignment horizontal="center" vertical="center" wrapText="1"/>
    </xf>
    <xf numFmtId="0" fontId="7" fillId="0" borderId="0" xfId="0" applyFont="1" applyAlignment="1">
      <alignment horizontal="center"/>
    </xf>
    <xf numFmtId="167" fontId="5" fillId="9" borderId="0" xfId="2" applyNumberFormat="1" applyFont="1" applyFill="1" applyAlignment="1">
      <alignment vertical="center"/>
    </xf>
    <xf numFmtId="10" fontId="5" fillId="0" borderId="0" xfId="5" applyNumberFormat="1" applyFont="1" applyAlignment="1">
      <alignment vertical="center"/>
    </xf>
    <xf numFmtId="174" fontId="5" fillId="3" borderId="0" xfId="5" applyNumberFormat="1" applyFont="1" applyFill="1" applyAlignment="1">
      <alignment vertical="center"/>
    </xf>
    <xf numFmtId="178" fontId="5" fillId="0" borderId="0" xfId="5" applyNumberFormat="1" applyFont="1" applyAlignment="1">
      <alignment vertical="center"/>
    </xf>
    <xf numFmtId="166" fontId="5" fillId="0" borderId="0" xfId="2" applyFont="1" applyAlignment="1">
      <alignment vertical="center"/>
    </xf>
    <xf numFmtId="178" fontId="5" fillId="0" borderId="0" xfId="9" applyNumberFormat="1" applyFont="1" applyAlignment="1">
      <alignment vertical="center"/>
    </xf>
    <xf numFmtId="167" fontId="5" fillId="31" borderId="0" xfId="2" applyNumberFormat="1" applyFont="1" applyFill="1" applyAlignment="1">
      <alignment vertical="center"/>
    </xf>
    <xf numFmtId="0" fontId="5" fillId="0" borderId="39" xfId="5" applyFill="1" applyBorder="1" applyAlignment="1">
      <alignment vertical="center"/>
    </xf>
    <xf numFmtId="0" fontId="7" fillId="0" borderId="38" xfId="5" applyFont="1" applyFill="1" applyBorder="1" applyAlignment="1">
      <alignment vertical="center"/>
    </xf>
    <xf numFmtId="167" fontId="0" fillId="0" borderId="0" xfId="2" applyNumberFormat="1" applyFont="1" applyFill="1" applyBorder="1" applyAlignment="1">
      <alignment vertical="center"/>
    </xf>
    <xf numFmtId="0" fontId="7" fillId="0" borderId="40" xfId="5" applyFont="1" applyFill="1" applyBorder="1" applyAlignment="1">
      <alignment vertical="center"/>
    </xf>
    <xf numFmtId="0" fontId="5" fillId="0" borderId="41" xfId="5" applyFill="1" applyBorder="1" applyAlignment="1">
      <alignment vertical="center"/>
    </xf>
    <xf numFmtId="0" fontId="5" fillId="0" borderId="41" xfId="5" applyFill="1" applyBorder="1" applyAlignment="1">
      <alignment horizontal="center" vertical="center"/>
    </xf>
    <xf numFmtId="0" fontId="5" fillId="0" borderId="41" xfId="5" applyFont="1" applyFill="1" applyBorder="1" applyAlignment="1">
      <alignment vertical="center"/>
    </xf>
    <xf numFmtId="167" fontId="0" fillId="0" borderId="41" xfId="2" applyNumberFormat="1" applyFont="1" applyFill="1" applyBorder="1" applyAlignment="1">
      <alignment vertical="center"/>
    </xf>
    <xf numFmtId="0" fontId="5" fillId="0" borderId="49" xfId="5" applyFill="1" applyBorder="1" applyAlignment="1">
      <alignment vertical="center"/>
    </xf>
    <xf numFmtId="0" fontId="7" fillId="0" borderId="8" xfId="5" applyFont="1" applyFill="1" applyBorder="1" applyAlignment="1">
      <alignment horizontal="left" vertical="center"/>
    </xf>
    <xf numFmtId="0" fontId="5" fillId="0" borderId="8" xfId="5" applyFont="1" applyFill="1" applyBorder="1" applyAlignment="1">
      <alignment vertical="center"/>
    </xf>
    <xf numFmtId="0" fontId="0" fillId="0" borderId="42" xfId="0" applyBorder="1"/>
    <xf numFmtId="0" fontId="0" fillId="0" borderId="43" xfId="0" applyBorder="1"/>
    <xf numFmtId="0" fontId="0" fillId="0" borderId="44" xfId="0" applyBorder="1"/>
    <xf numFmtId="167" fontId="5" fillId="9" borderId="0" xfId="2" applyNumberFormat="1" applyFont="1" applyFill="1" applyBorder="1" applyAlignment="1">
      <alignment vertical="center"/>
    </xf>
    <xf numFmtId="0" fontId="0" fillId="0" borderId="38" xfId="0" applyBorder="1"/>
    <xf numFmtId="0" fontId="7" fillId="0" borderId="39" xfId="5" applyFont="1" applyFill="1" applyBorder="1" applyAlignment="1">
      <alignment vertical="center"/>
    </xf>
    <xf numFmtId="0" fontId="5" fillId="0" borderId="39" xfId="5" applyFont="1" applyFill="1" applyBorder="1" applyAlignment="1">
      <alignment vertical="center"/>
    </xf>
    <xf numFmtId="0" fontId="0" fillId="0" borderId="40" xfId="0" applyBorder="1"/>
    <xf numFmtId="0" fontId="0" fillId="0" borderId="41" xfId="0" applyBorder="1"/>
    <xf numFmtId="0" fontId="0" fillId="0" borderId="49" xfId="0" applyBorder="1"/>
    <xf numFmtId="166" fontId="5" fillId="9" borderId="0" xfId="2" applyNumberFormat="1" applyFont="1" applyFill="1" applyBorder="1" applyAlignment="1">
      <alignment vertical="center"/>
    </xf>
    <xf numFmtId="166" fontId="5" fillId="0" borderId="0" xfId="2" applyNumberFormat="1" applyFont="1" applyFill="1" applyBorder="1" applyAlignment="1">
      <alignment vertical="center"/>
    </xf>
    <xf numFmtId="0" fontId="114" fillId="0" borderId="0" xfId="0" applyFont="1" applyAlignment="1">
      <alignment vertical="center" wrapText="1"/>
    </xf>
    <xf numFmtId="0" fontId="116" fillId="76" borderId="41" xfId="0" applyFont="1" applyFill="1" applyBorder="1" applyAlignment="1">
      <alignment horizontal="justify" vertical="center"/>
    </xf>
    <xf numFmtId="0" fontId="116" fillId="76" borderId="49" xfId="0" applyFont="1" applyFill="1" applyBorder="1" applyAlignment="1">
      <alignment horizontal="justify" vertical="center"/>
    </xf>
    <xf numFmtId="0" fontId="117" fillId="0" borderId="0" xfId="0" applyFont="1" applyAlignment="1">
      <alignment horizontal="justify" vertical="center"/>
    </xf>
    <xf numFmtId="0" fontId="117" fillId="0" borderId="39" xfId="0" applyFont="1" applyBorder="1" applyAlignment="1">
      <alignment horizontal="justify" vertical="center"/>
    </xf>
    <xf numFmtId="169" fontId="7" fillId="31" borderId="0" xfId="0" applyNumberFormat="1" applyFont="1" applyFill="1" applyBorder="1"/>
    <xf numFmtId="0" fontId="114" fillId="31" borderId="0" xfId="0" applyFont="1" applyFill="1" applyBorder="1" applyAlignment="1">
      <alignment vertical="center" wrapText="1"/>
    </xf>
    <xf numFmtId="0" fontId="116" fillId="31" borderId="0" xfId="0" applyFont="1" applyFill="1" applyBorder="1" applyAlignment="1">
      <alignment horizontal="justify" vertical="center"/>
    </xf>
    <xf numFmtId="0" fontId="117" fillId="31" borderId="0" xfId="0" applyFont="1" applyFill="1" applyBorder="1" applyAlignment="1">
      <alignment horizontal="justify" vertical="center"/>
    </xf>
    <xf numFmtId="0" fontId="117" fillId="0" borderId="38" xfId="0" applyFont="1" applyBorder="1" applyAlignment="1">
      <alignment horizontal="center" vertical="center"/>
    </xf>
    <xf numFmtId="0" fontId="116" fillId="76" borderId="40" xfId="0" applyFont="1" applyFill="1" applyBorder="1" applyAlignment="1">
      <alignment horizontal="center" vertical="center"/>
    </xf>
    <xf numFmtId="0" fontId="118" fillId="0" borderId="19" xfId="0" applyFont="1" applyBorder="1" applyAlignment="1">
      <alignment horizontal="center" vertical="center"/>
    </xf>
    <xf numFmtId="0" fontId="118" fillId="0" borderId="20" xfId="0" applyFont="1" applyBorder="1" applyAlignment="1">
      <alignment horizontal="justify" vertical="center"/>
    </xf>
    <xf numFmtId="0" fontId="114" fillId="0" borderId="21" xfId="0" applyFont="1" applyBorder="1" applyAlignment="1">
      <alignment vertical="center"/>
    </xf>
    <xf numFmtId="0" fontId="7" fillId="0" borderId="38" xfId="5" applyFont="1" applyFill="1" applyBorder="1" applyAlignment="1">
      <alignment horizontal="center" vertical="center"/>
    </xf>
    <xf numFmtId="0" fontId="5" fillId="31" borderId="42" xfId="0" applyFont="1" applyFill="1" applyBorder="1"/>
    <xf numFmtId="0" fontId="44" fillId="31" borderId="43" xfId="5" applyFont="1" applyFill="1" applyBorder="1"/>
    <xf numFmtId="0" fontId="0" fillId="0" borderId="39" xfId="0" applyBorder="1"/>
    <xf numFmtId="0" fontId="0" fillId="31" borderId="40" xfId="0" applyFill="1" applyBorder="1"/>
    <xf numFmtId="0" fontId="44" fillId="31" borderId="41" xfId="5" applyFont="1" applyFill="1" applyBorder="1"/>
    <xf numFmtId="0" fontId="7" fillId="0" borderId="38" xfId="5" applyFont="1" applyBorder="1" applyAlignment="1">
      <alignment horizontal="center" vertical="center"/>
    </xf>
    <xf numFmtId="0" fontId="5" fillId="0" borderId="39" xfId="5" applyFont="1" applyBorder="1" applyAlignment="1">
      <alignment vertical="center"/>
    </xf>
    <xf numFmtId="0" fontId="7" fillId="22" borderId="29" xfId="0" applyFont="1" applyFill="1" applyBorder="1" applyAlignment="1">
      <alignment horizontal="center" vertical="center" wrapText="1"/>
    </xf>
    <xf numFmtId="0" fontId="7" fillId="0" borderId="38" xfId="0" applyFont="1" applyBorder="1" applyAlignment="1">
      <alignment horizontal="center" vertical="center" wrapText="1"/>
    </xf>
    <xf numFmtId="0" fontId="7" fillId="0" borderId="0" xfId="0" applyFont="1" applyBorder="1" applyAlignment="1">
      <alignment horizontal="center" vertical="center" wrapText="1"/>
    </xf>
    <xf numFmtId="0" fontId="7" fillId="0" borderId="38" xfId="0" applyFont="1" applyBorder="1" applyAlignment="1">
      <alignment vertical="center"/>
    </xf>
    <xf numFmtId="0" fontId="0" fillId="0" borderId="0" xfId="0" applyBorder="1" applyAlignment="1">
      <alignment vertical="center"/>
    </xf>
    <xf numFmtId="0" fontId="44" fillId="0" borderId="39" xfId="0" applyFont="1" applyBorder="1" applyAlignment="1">
      <alignment horizontal="center" vertical="center" wrapText="1"/>
    </xf>
    <xf numFmtId="0" fontId="7" fillId="2" borderId="48" xfId="0" applyFont="1" applyFill="1" applyBorder="1" applyAlignment="1">
      <alignment vertical="center"/>
    </xf>
    <xf numFmtId="167" fontId="7" fillId="22" borderId="77" xfId="2" applyNumberFormat="1" applyFont="1" applyFill="1" applyBorder="1" applyAlignment="1">
      <alignment vertical="center"/>
    </xf>
    <xf numFmtId="0" fontId="0" fillId="0" borderId="38" xfId="0" applyBorder="1" applyAlignment="1">
      <alignment vertical="center"/>
    </xf>
    <xf numFmtId="167" fontId="5" fillId="0" borderId="39" xfId="2" applyNumberFormat="1" applyFont="1" applyBorder="1" applyAlignment="1">
      <alignment vertical="center"/>
    </xf>
    <xf numFmtId="167" fontId="5" fillId="0" borderId="39" xfId="2" applyNumberFormat="1" applyFont="1" applyFill="1" applyBorder="1" applyAlignment="1">
      <alignment vertical="center"/>
    </xf>
    <xf numFmtId="0" fontId="8" fillId="0" borderId="38" xfId="0" applyFont="1" applyBorder="1" applyAlignment="1">
      <alignment vertical="center"/>
    </xf>
    <xf numFmtId="0" fontId="0" fillId="0" borderId="38" xfId="0" applyFill="1" applyBorder="1" applyAlignment="1">
      <alignment vertical="center"/>
    </xf>
    <xf numFmtId="0" fontId="0" fillId="0" borderId="0" xfId="0" applyFill="1" applyBorder="1" applyAlignment="1">
      <alignment vertical="center"/>
    </xf>
    <xf numFmtId="167" fontId="7" fillId="0" borderId="39" xfId="2" applyNumberFormat="1" applyFont="1" applyBorder="1" applyAlignment="1">
      <alignment vertical="center"/>
    </xf>
    <xf numFmtId="0" fontId="9" fillId="2" borderId="53" xfId="0" applyFont="1" applyFill="1" applyBorder="1" applyAlignment="1">
      <alignment vertical="center"/>
    </xf>
    <xf numFmtId="0" fontId="10" fillId="2" borderId="80" xfId="0" applyFont="1" applyFill="1" applyBorder="1" applyAlignment="1">
      <alignment vertical="center"/>
    </xf>
    <xf numFmtId="167" fontId="9" fillId="22" borderId="79" xfId="2" applyNumberFormat="1" applyFont="1" applyFill="1" applyBorder="1" applyAlignment="1">
      <alignment vertical="center"/>
    </xf>
    <xf numFmtId="0" fontId="7" fillId="0" borderId="42" xfId="5" applyFont="1" applyBorder="1" applyAlignment="1">
      <alignment vertical="center"/>
    </xf>
    <xf numFmtId="0" fontId="5" fillId="0" borderId="43" xfId="5" applyBorder="1" applyAlignment="1">
      <alignment vertical="center"/>
    </xf>
    <xf numFmtId="0" fontId="5" fillId="0" borderId="43" xfId="5" applyBorder="1" applyAlignment="1">
      <alignment horizontal="center" vertical="center"/>
    </xf>
    <xf numFmtId="0" fontId="5" fillId="0" borderId="43" xfId="5" applyFont="1" applyBorder="1" applyAlignment="1">
      <alignment vertical="center"/>
    </xf>
    <xf numFmtId="0" fontId="7" fillId="0" borderId="40" xfId="5" applyFont="1" applyBorder="1" applyAlignment="1">
      <alignment vertical="center"/>
    </xf>
    <xf numFmtId="0" fontId="5" fillId="0" borderId="41" xfId="5" applyBorder="1" applyAlignment="1">
      <alignment vertical="center"/>
    </xf>
    <xf numFmtId="0" fontId="5" fillId="0" borderId="41" xfId="5" applyBorder="1" applyAlignment="1">
      <alignment horizontal="center" vertical="center"/>
    </xf>
    <xf numFmtId="0" fontId="5" fillId="0" borderId="41" xfId="5" applyFont="1" applyBorder="1" applyAlignment="1">
      <alignment vertical="center"/>
    </xf>
    <xf numFmtId="169" fontId="7" fillId="0" borderId="39" xfId="0" applyNumberFormat="1" applyFont="1" applyBorder="1" applyAlignment="1">
      <alignment horizontal="center" vertical="center"/>
    </xf>
    <xf numFmtId="0" fontId="0" fillId="0" borderId="39" xfId="0" applyBorder="1" applyAlignment="1">
      <alignment vertical="center"/>
    </xf>
    <xf numFmtId="0" fontId="115" fillId="9" borderId="19" xfId="0" applyFont="1" applyFill="1" applyBorder="1" applyAlignment="1">
      <alignment horizontal="center" vertical="center" wrapText="1"/>
    </xf>
    <xf numFmtId="0" fontId="115" fillId="9" borderId="20" xfId="0" applyFont="1" applyFill="1" applyBorder="1" applyAlignment="1">
      <alignment horizontal="justify" vertical="center" wrapText="1"/>
    </xf>
    <xf numFmtId="0" fontId="115" fillId="9" borderId="21" xfId="0" applyFont="1" applyFill="1" applyBorder="1" applyAlignment="1">
      <alignment horizontal="justify" vertical="center" wrapText="1"/>
    </xf>
    <xf numFmtId="166" fontId="7" fillId="22" borderId="2" xfId="2" applyNumberFormat="1" applyFont="1" applyFill="1" applyBorder="1" applyAlignment="1">
      <alignment vertical="center"/>
    </xf>
    <xf numFmtId="0" fontId="7" fillId="0" borderId="38" xfId="5" applyFont="1" applyBorder="1" applyAlignment="1">
      <alignment vertical="center"/>
    </xf>
    <xf numFmtId="0" fontId="7" fillId="0" borderId="41" xfId="5" applyFont="1" applyBorder="1" applyAlignment="1">
      <alignment vertical="center"/>
    </xf>
    <xf numFmtId="167" fontId="0" fillId="0" borderId="49" xfId="2" applyNumberFormat="1" applyFont="1" applyBorder="1" applyAlignment="1">
      <alignment vertical="center"/>
    </xf>
    <xf numFmtId="167" fontId="7" fillId="0" borderId="39" xfId="2" applyNumberFormat="1" applyFont="1" applyBorder="1" applyAlignment="1">
      <alignment horizontal="left" vertical="center"/>
    </xf>
    <xf numFmtId="9" fontId="0" fillId="24" borderId="2" xfId="9" applyFont="1" applyFill="1" applyBorder="1" applyAlignment="1">
      <alignment vertical="center"/>
    </xf>
    <xf numFmtId="165" fontId="74" fillId="18" borderId="0" xfId="0" applyNumberFormat="1" applyFont="1" applyFill="1" applyAlignment="1">
      <alignment vertical="center"/>
    </xf>
    <xf numFmtId="165" fontId="0" fillId="18" borderId="0" xfId="4" applyFont="1" applyFill="1" applyAlignment="1">
      <alignment vertical="center"/>
    </xf>
    <xf numFmtId="188" fontId="0" fillId="18" borderId="0" xfId="0" applyNumberFormat="1" applyFont="1" applyFill="1" applyBorder="1" applyAlignment="1">
      <alignment vertical="center"/>
    </xf>
    <xf numFmtId="166" fontId="82" fillId="18" borderId="0" xfId="2" applyFont="1" applyFill="1" applyBorder="1" applyAlignment="1">
      <alignment horizontal="center"/>
    </xf>
    <xf numFmtId="165" fontId="0" fillId="0" borderId="39" xfId="4" applyFont="1" applyBorder="1"/>
    <xf numFmtId="165" fontId="0" fillId="14" borderId="50" xfId="4" applyFont="1" applyFill="1" applyBorder="1"/>
    <xf numFmtId="165" fontId="0" fillId="0" borderId="27" xfId="4" applyFont="1" applyBorder="1"/>
    <xf numFmtId="165" fontId="5" fillId="0" borderId="27" xfId="5" applyNumberFormat="1" applyBorder="1"/>
    <xf numFmtId="0" fontId="5" fillId="14" borderId="47" xfId="5" applyFill="1" applyBorder="1"/>
    <xf numFmtId="0" fontId="44" fillId="0" borderId="10" xfId="5" applyFont="1" applyBorder="1" applyAlignment="1">
      <alignment horizontal="center" vertical="center"/>
    </xf>
    <xf numFmtId="0" fontId="0" fillId="0" borderId="0" xfId="0" applyBorder="1" applyAlignment="1">
      <alignment horizontal="right"/>
    </xf>
    <xf numFmtId="6" fontId="0" fillId="0" borderId="0" xfId="0" applyNumberFormat="1"/>
    <xf numFmtId="166" fontId="5" fillId="0" borderId="3" xfId="2" applyNumberFormat="1" applyFont="1" applyFill="1" applyBorder="1" applyAlignment="1">
      <alignment vertical="center"/>
    </xf>
    <xf numFmtId="166" fontId="7" fillId="3" borderId="3" xfId="2" applyNumberFormat="1" applyFont="1" applyFill="1" applyBorder="1" applyAlignment="1">
      <alignment vertical="center"/>
    </xf>
    <xf numFmtId="165" fontId="7" fillId="0" borderId="3" xfId="4" applyFont="1" applyFill="1" applyBorder="1" applyAlignment="1">
      <alignment vertical="center"/>
    </xf>
    <xf numFmtId="165" fontId="70" fillId="0" borderId="0" xfId="4" applyFont="1" applyFill="1" applyBorder="1" applyAlignment="1">
      <alignment horizontal="left" vertical="center"/>
    </xf>
    <xf numFmtId="165" fontId="7" fillId="0" borderId="0" xfId="4" applyFont="1" applyFill="1" applyAlignment="1">
      <alignment vertical="center"/>
    </xf>
    <xf numFmtId="165" fontId="7" fillId="0" borderId="5" xfId="4" applyFont="1" applyFill="1" applyBorder="1" applyAlignment="1">
      <alignment vertical="center"/>
    </xf>
    <xf numFmtId="165" fontId="7" fillId="0" borderId="0" xfId="4" applyFont="1" applyAlignment="1">
      <alignment vertical="center"/>
    </xf>
    <xf numFmtId="165" fontId="70" fillId="31" borderId="0" xfId="4" applyFont="1" applyFill="1" applyBorder="1" applyAlignment="1">
      <alignment horizontal="center" vertical="center"/>
    </xf>
    <xf numFmtId="165" fontId="7" fillId="14" borderId="3" xfId="4" applyFont="1" applyFill="1" applyBorder="1" applyAlignment="1">
      <alignment vertical="center"/>
    </xf>
    <xf numFmtId="0" fontId="0" fillId="14" borderId="27" xfId="0" applyFill="1" applyBorder="1"/>
    <xf numFmtId="0" fontId="0" fillId="17" borderId="27" xfId="0" applyFill="1" applyBorder="1" applyAlignment="1">
      <alignment vertical="center"/>
    </xf>
    <xf numFmtId="166" fontId="7" fillId="17" borderId="27" xfId="2" applyNumberFormat="1" applyFont="1" applyFill="1" applyBorder="1" applyAlignment="1">
      <alignment vertical="center"/>
    </xf>
    <xf numFmtId="0" fontId="0" fillId="3" borderId="27" xfId="0" applyFill="1" applyBorder="1"/>
    <xf numFmtId="0" fontId="7" fillId="17" borderId="27" xfId="0" applyFont="1" applyFill="1" applyBorder="1"/>
    <xf numFmtId="0" fontId="0" fillId="17" borderId="27" xfId="0" applyFill="1" applyBorder="1"/>
    <xf numFmtId="0" fontId="0" fillId="14" borderId="46" xfId="0" applyFill="1" applyBorder="1"/>
    <xf numFmtId="165" fontId="5" fillId="0" borderId="3" xfId="4" applyFont="1" applyFill="1" applyBorder="1" applyAlignment="1">
      <alignment vertical="center"/>
    </xf>
    <xf numFmtId="165" fontId="7" fillId="14" borderId="27" xfId="4" applyFont="1" applyFill="1" applyBorder="1" applyAlignment="1">
      <alignment horizontal="left" vertical="center" indent="2"/>
    </xf>
    <xf numFmtId="165" fontId="7" fillId="14" borderId="26" xfId="4" applyFont="1" applyFill="1" applyBorder="1"/>
    <xf numFmtId="170" fontId="7" fillId="0" borderId="0" xfId="0" applyNumberFormat="1" applyFont="1" applyFill="1" applyAlignment="1">
      <alignment vertical="center"/>
    </xf>
    <xf numFmtId="188" fontId="7" fillId="14" borderId="27" xfId="0" applyNumberFormat="1" applyFont="1" applyFill="1" applyBorder="1"/>
    <xf numFmtId="174" fontId="33" fillId="3" borderId="5" xfId="2" applyNumberFormat="1" applyFont="1" applyFill="1" applyBorder="1"/>
    <xf numFmtId="165" fontId="7" fillId="0" borderId="0" xfId="4" applyFont="1" applyFill="1" applyAlignment="1">
      <alignment horizontal="left" vertical="center"/>
    </xf>
    <xf numFmtId="165" fontId="70" fillId="0" borderId="0" xfId="4" applyFont="1" applyFill="1" applyAlignment="1">
      <alignment horizontal="left" vertical="center"/>
    </xf>
    <xf numFmtId="165" fontId="0" fillId="14" borderId="27" xfId="4" applyFont="1" applyFill="1" applyBorder="1" applyAlignment="1">
      <alignment vertical="center"/>
    </xf>
    <xf numFmtId="165" fontId="69" fillId="0" borderId="0" xfId="4" applyFont="1" applyFill="1" applyAlignment="1">
      <alignment horizontal="left" vertical="center"/>
    </xf>
    <xf numFmtId="165" fontId="5" fillId="0" borderId="0" xfId="4" applyFont="1" applyFill="1" applyAlignment="1">
      <alignment vertical="center"/>
    </xf>
    <xf numFmtId="165" fontId="8" fillId="0" borderId="5" xfId="4" applyFont="1" applyFill="1" applyBorder="1" applyAlignment="1">
      <alignment vertical="center"/>
    </xf>
    <xf numFmtId="0" fontId="44" fillId="31" borderId="0" xfId="5" applyFont="1" applyFill="1" applyAlignment="1">
      <alignment horizontal="center" vertical="center"/>
    </xf>
    <xf numFmtId="2" fontId="7" fillId="14" borderId="27" xfId="0" applyNumberFormat="1" applyFont="1" applyFill="1" applyBorder="1" applyAlignment="1">
      <alignment vertical="center"/>
    </xf>
    <xf numFmtId="166" fontId="82" fillId="14" borderId="5" xfId="2" applyFont="1" applyFill="1" applyBorder="1" applyAlignment="1">
      <alignment horizontal="center"/>
    </xf>
    <xf numFmtId="10" fontId="109" fillId="3" borderId="0" xfId="9" applyNumberFormat="1" applyFont="1" applyFill="1"/>
    <xf numFmtId="196" fontId="44" fillId="0" borderId="0" xfId="2" applyNumberFormat="1" applyFont="1" applyBorder="1" applyAlignment="1">
      <alignment horizontal="center"/>
    </xf>
    <xf numFmtId="43" fontId="0" fillId="0" borderId="0" xfId="0" applyNumberFormat="1" applyBorder="1"/>
    <xf numFmtId="196" fontId="82" fillId="0" borderId="0" xfId="2" applyNumberFormat="1" applyFont="1" applyBorder="1"/>
    <xf numFmtId="196" fontId="82" fillId="0" borderId="0" xfId="2" applyNumberFormat="1" applyFont="1" applyBorder="1" applyAlignment="1">
      <alignment horizontal="center"/>
    </xf>
    <xf numFmtId="9" fontId="0" fillId="0" borderId="0" xfId="9" applyFont="1" applyBorder="1"/>
    <xf numFmtId="196" fontId="0" fillId="0" borderId="0" xfId="0" applyNumberFormat="1" applyBorder="1"/>
    <xf numFmtId="2" fontId="0" fillId="0" borderId="0" xfId="0" applyNumberFormat="1"/>
    <xf numFmtId="0" fontId="82" fillId="0" borderId="0" xfId="0" applyFont="1" applyBorder="1"/>
    <xf numFmtId="165" fontId="0" fillId="0" borderId="0" xfId="4" applyFont="1" applyBorder="1"/>
    <xf numFmtId="0" fontId="7" fillId="0" borderId="0" xfId="0" applyFont="1" applyAlignment="1">
      <alignment horizontal="center" vertical="center" wrapText="1"/>
    </xf>
    <xf numFmtId="0" fontId="7" fillId="0" borderId="4" xfId="0" applyFont="1" applyBorder="1" applyAlignment="1">
      <alignment horizontal="center"/>
    </xf>
    <xf numFmtId="176" fontId="7" fillId="0" borderId="4" xfId="0" applyNumberFormat="1" applyFont="1" applyBorder="1" applyAlignment="1">
      <alignment horizontal="center"/>
    </xf>
    <xf numFmtId="169" fontId="7" fillId="0" borderId="4" xfId="0" applyNumberFormat="1" applyFont="1" applyBorder="1" applyAlignment="1">
      <alignment horizontal="center"/>
    </xf>
    <xf numFmtId="0" fontId="7" fillId="0" borderId="0" xfId="0" applyFont="1" applyAlignment="1">
      <alignment horizontal="center"/>
    </xf>
    <xf numFmtId="169" fontId="7" fillId="0" borderId="8" xfId="0" applyNumberFormat="1" applyFont="1" applyBorder="1" applyAlignment="1">
      <alignment horizontal="center"/>
    </xf>
    <xf numFmtId="176" fontId="7" fillId="0" borderId="8" xfId="0" applyNumberFormat="1" applyFont="1" applyBorder="1" applyAlignment="1">
      <alignment horizontal="center"/>
    </xf>
    <xf numFmtId="0" fontId="7" fillId="0" borderId="8" xfId="0" applyNumberFormat="1" applyFont="1" applyBorder="1" applyAlignment="1">
      <alignment horizontal="center"/>
    </xf>
    <xf numFmtId="170" fontId="7" fillId="2" borderId="2" xfId="0" applyNumberFormat="1" applyFont="1" applyFill="1" applyBorder="1" applyAlignment="1">
      <alignment horizontal="center"/>
    </xf>
    <xf numFmtId="170" fontId="7" fillId="0" borderId="0" xfId="0" applyNumberFormat="1" applyFont="1" applyAlignment="1">
      <alignment horizontal="center"/>
    </xf>
    <xf numFmtId="4" fontId="7" fillId="0" borderId="0" xfId="0" applyNumberFormat="1" applyFont="1" applyAlignment="1">
      <alignment horizontal="center"/>
    </xf>
    <xf numFmtId="0" fontId="7" fillId="0" borderId="4" xfId="0" applyFont="1" applyBorder="1" applyAlignment="1">
      <alignment horizontal="center" vertical="center" wrapText="1"/>
    </xf>
    <xf numFmtId="2" fontId="7" fillId="0" borderId="4" xfId="0" applyNumberFormat="1" applyFont="1" applyBorder="1" applyAlignment="1">
      <alignment horizontal="center"/>
    </xf>
    <xf numFmtId="0" fontId="7" fillId="0" borderId="8" xfId="0" applyFont="1" applyBorder="1" applyAlignment="1">
      <alignment horizontal="center"/>
    </xf>
    <xf numFmtId="0" fontId="7" fillId="0" borderId="0" xfId="0" applyFont="1" applyAlignment="1">
      <alignment horizontal="center" vertical="center"/>
    </xf>
    <xf numFmtId="4" fontId="7" fillId="0" borderId="8" xfId="0" applyNumberFormat="1" applyFont="1" applyBorder="1" applyAlignment="1">
      <alignment horizontal="center"/>
    </xf>
    <xf numFmtId="167" fontId="7" fillId="0" borderId="0" xfId="0" applyNumberFormat="1" applyFont="1" applyAlignment="1">
      <alignment horizontal="center"/>
    </xf>
    <xf numFmtId="0" fontId="8" fillId="0" borderId="0" xfId="0" applyFont="1" applyAlignment="1">
      <alignment horizontal="left" vertical="center" wrapText="1"/>
    </xf>
    <xf numFmtId="2" fontId="7" fillId="0" borderId="8" xfId="0" applyNumberFormat="1" applyFont="1" applyBorder="1" applyAlignment="1">
      <alignment horizontal="center"/>
    </xf>
    <xf numFmtId="0" fontId="0" fillId="0" borderId="0" xfId="0" applyAlignment="1">
      <alignment horizontal="left" vertical="center" wrapText="1"/>
    </xf>
    <xf numFmtId="167" fontId="17" fillId="9" borderId="0" xfId="2" applyNumberFormat="1" applyFont="1" applyFill="1" applyAlignment="1">
      <alignment horizontal="center" vertical="center" wrapText="1"/>
    </xf>
    <xf numFmtId="166" fontId="7" fillId="0" borderId="0" xfId="2" applyFont="1" applyAlignment="1">
      <alignment horizontal="center"/>
    </xf>
    <xf numFmtId="0" fontId="7" fillId="0" borderId="0" xfId="0" applyFont="1" applyBorder="1" applyAlignment="1">
      <alignment horizontal="center"/>
    </xf>
    <xf numFmtId="169" fontId="7" fillId="0" borderId="0" xfId="0" applyNumberFormat="1" applyFont="1" applyBorder="1" applyAlignment="1">
      <alignment horizontal="center"/>
    </xf>
    <xf numFmtId="177" fontId="7" fillId="0" borderId="0" xfId="0" applyNumberFormat="1" applyFont="1" applyAlignment="1">
      <alignment horizontal="center" vertical="center" wrapText="1"/>
    </xf>
    <xf numFmtId="2" fontId="7" fillId="0" borderId="0" xfId="0" applyNumberFormat="1" applyFont="1" applyAlignment="1">
      <alignment horizontal="center"/>
    </xf>
    <xf numFmtId="2" fontId="7" fillId="0" borderId="0" xfId="0" applyNumberFormat="1" applyFont="1" applyBorder="1" applyAlignment="1">
      <alignment horizontal="center"/>
    </xf>
    <xf numFmtId="4" fontId="7" fillId="0" borderId="4" xfId="0" applyNumberFormat="1" applyFont="1" applyBorder="1" applyAlignment="1">
      <alignment horizontal="center"/>
    </xf>
    <xf numFmtId="167" fontId="7" fillId="3" borderId="0" xfId="2" applyNumberFormat="1" applyFont="1" applyFill="1" applyAlignment="1">
      <alignment horizontal="center" vertical="center"/>
    </xf>
    <xf numFmtId="0" fontId="8" fillId="0" borderId="8" xfId="0" applyFont="1" applyBorder="1" applyAlignment="1">
      <alignment horizontal="center"/>
    </xf>
    <xf numFmtId="167" fontId="8" fillId="0" borderId="0" xfId="2" applyNumberFormat="1" applyFont="1" applyAlignment="1">
      <alignment horizontal="center" vertical="center"/>
    </xf>
    <xf numFmtId="0" fontId="0" fillId="0" borderId="0" xfId="0" applyBorder="1" applyAlignment="1">
      <alignment horizontal="center"/>
    </xf>
    <xf numFmtId="0" fontId="7" fillId="0" borderId="4" xfId="0" applyNumberFormat="1" applyFont="1" applyBorder="1" applyAlignment="1">
      <alignment horizontal="center"/>
    </xf>
    <xf numFmtId="166" fontId="7" fillId="0" borderId="4" xfId="0" applyNumberFormat="1" applyFont="1" applyBorder="1" applyAlignment="1">
      <alignment horizontal="center"/>
    </xf>
    <xf numFmtId="0" fontId="12" fillId="0" borderId="0" xfId="0" applyFont="1" applyBorder="1" applyAlignment="1">
      <alignment horizontal="left"/>
    </xf>
    <xf numFmtId="0" fontId="7" fillId="0" borderId="0" xfId="0" applyFont="1" applyBorder="1" applyAlignment="1"/>
    <xf numFmtId="0" fontId="8" fillId="0" borderId="4" xfId="0" applyFont="1" applyBorder="1" applyAlignment="1">
      <alignment horizontal="center"/>
    </xf>
    <xf numFmtId="167" fontId="7" fillId="0" borderId="0" xfId="2" applyNumberFormat="1" applyFont="1" applyAlignment="1">
      <alignment horizontal="center" vertical="center"/>
    </xf>
    <xf numFmtId="167" fontId="8" fillId="3" borderId="0" xfId="2" applyNumberFormat="1" applyFont="1" applyFill="1" applyAlignment="1">
      <alignment horizontal="center" vertical="center"/>
    </xf>
    <xf numFmtId="0" fontId="34" fillId="0" borderId="0" xfId="0" applyFont="1" applyAlignment="1">
      <alignment horizontal="left" vertical="center" wrapText="1"/>
    </xf>
    <xf numFmtId="0" fontId="5" fillId="0" borderId="19" xfId="0" applyFont="1" applyBorder="1" applyAlignment="1">
      <alignment horizontal="center" vertical="center" wrapText="1"/>
    </xf>
    <xf numFmtId="0" fontId="0" fillId="0" borderId="20" xfId="0" applyBorder="1" applyAlignment="1">
      <alignment horizontal="center" vertical="center" wrapText="1"/>
    </xf>
    <xf numFmtId="0" fontId="0" fillId="0" borderId="21" xfId="0" applyBorder="1" applyAlignment="1">
      <alignment horizontal="center" vertical="center" wrapText="1"/>
    </xf>
    <xf numFmtId="0" fontId="7" fillId="0" borderId="0" xfId="0" applyFont="1" applyAlignment="1">
      <alignment horizontal="left" vertical="center" wrapText="1"/>
    </xf>
    <xf numFmtId="0" fontId="7" fillId="0" borderId="4" xfId="5" applyFont="1" applyBorder="1" applyAlignment="1">
      <alignment horizontal="center" vertical="center"/>
    </xf>
    <xf numFmtId="0" fontId="7" fillId="0" borderId="0" xfId="5" applyFont="1" applyAlignment="1">
      <alignment horizontal="center" vertical="center" wrapText="1"/>
    </xf>
    <xf numFmtId="169" fontId="7" fillId="0" borderId="4" xfId="5" applyNumberFormat="1" applyFont="1" applyBorder="1" applyAlignment="1">
      <alignment horizontal="center" vertical="center"/>
    </xf>
    <xf numFmtId="0" fontId="7" fillId="0" borderId="0" xfId="5" applyFont="1" applyAlignment="1">
      <alignment horizontal="center" vertical="center"/>
    </xf>
    <xf numFmtId="169" fontId="7" fillId="0" borderId="8" xfId="5" applyNumberFormat="1" applyFont="1" applyBorder="1" applyAlignment="1">
      <alignment horizontal="center" vertical="center"/>
    </xf>
    <xf numFmtId="176" fontId="7" fillId="3" borderId="4" xfId="5" applyNumberFormat="1" applyFont="1" applyFill="1" applyBorder="1" applyAlignment="1">
      <alignment horizontal="center" vertical="center"/>
    </xf>
    <xf numFmtId="176" fontId="7" fillId="0" borderId="8" xfId="5" applyNumberFormat="1" applyFont="1" applyBorder="1" applyAlignment="1">
      <alignment horizontal="center" vertical="center"/>
    </xf>
    <xf numFmtId="0" fontId="7" fillId="0" borderId="8" xfId="5" applyFont="1" applyBorder="1" applyAlignment="1">
      <alignment horizontal="center" vertical="center"/>
    </xf>
    <xf numFmtId="166" fontId="7" fillId="13" borderId="0" xfId="2" applyFont="1" applyFill="1" applyAlignment="1">
      <alignment horizontal="center" vertical="center"/>
    </xf>
    <xf numFmtId="0" fontId="7" fillId="13" borderId="0" xfId="5" applyFont="1" applyFill="1" applyAlignment="1">
      <alignment horizontal="center" vertical="center"/>
    </xf>
    <xf numFmtId="170" fontId="7" fillId="13" borderId="0" xfId="5" applyNumberFormat="1" applyFont="1" applyFill="1" applyAlignment="1">
      <alignment horizontal="center" vertical="center"/>
    </xf>
    <xf numFmtId="0" fontId="7" fillId="0" borderId="4" xfId="5" applyFont="1" applyBorder="1" applyAlignment="1">
      <alignment horizontal="center" vertical="center" wrapText="1"/>
    </xf>
    <xf numFmtId="2" fontId="7" fillId="0" borderId="4" xfId="5" applyNumberFormat="1" applyFont="1" applyBorder="1" applyAlignment="1">
      <alignment horizontal="center" vertical="center"/>
    </xf>
    <xf numFmtId="0" fontId="7" fillId="0" borderId="8" xfId="5" applyNumberFormat="1" applyFont="1" applyBorder="1" applyAlignment="1">
      <alignment horizontal="center" vertical="center"/>
    </xf>
    <xf numFmtId="0" fontId="7" fillId="0" borderId="0" xfId="5" applyFont="1" applyAlignment="1">
      <alignment horizontal="left" vertical="center"/>
    </xf>
    <xf numFmtId="170" fontId="7" fillId="0" borderId="0" xfId="5" applyNumberFormat="1" applyFont="1" applyAlignment="1">
      <alignment horizontal="center" vertical="center"/>
    </xf>
    <xf numFmtId="167" fontId="7" fillId="0" borderId="0" xfId="5" applyNumberFormat="1" applyFont="1" applyAlignment="1">
      <alignment horizontal="center" vertical="center"/>
    </xf>
    <xf numFmtId="0" fontId="5" fillId="0" borderId="0" xfId="5" applyFont="1" applyAlignment="1">
      <alignment horizontal="left" vertical="center" wrapText="1"/>
    </xf>
    <xf numFmtId="3" fontId="7" fillId="0" borderId="8" xfId="5" applyNumberFormat="1" applyFont="1" applyBorder="1" applyAlignment="1">
      <alignment horizontal="center" vertical="center"/>
    </xf>
    <xf numFmtId="4" fontId="7" fillId="0" borderId="8" xfId="5" applyNumberFormat="1" applyFont="1" applyBorder="1" applyAlignment="1">
      <alignment horizontal="center" vertical="center"/>
    </xf>
    <xf numFmtId="0" fontId="5" fillId="0" borderId="0" xfId="5" applyAlignment="1">
      <alignment horizontal="left" vertical="center" wrapText="1"/>
    </xf>
    <xf numFmtId="177" fontId="7" fillId="0" borderId="0" xfId="5" applyNumberFormat="1" applyFont="1" applyAlignment="1">
      <alignment horizontal="center" vertical="center" wrapText="1"/>
    </xf>
    <xf numFmtId="0" fontId="7" fillId="3" borderId="0" xfId="5" applyFont="1" applyFill="1" applyAlignment="1">
      <alignment horizontal="center" vertical="center"/>
    </xf>
    <xf numFmtId="0" fontId="7" fillId="0" borderId="0" xfId="5" applyFont="1" applyFill="1" applyAlignment="1">
      <alignment horizontal="center" vertical="center"/>
    </xf>
    <xf numFmtId="0" fontId="7" fillId="0" borderId="0" xfId="5" applyFont="1" applyBorder="1" applyAlignment="1">
      <alignment horizontal="center" vertical="center"/>
    </xf>
    <xf numFmtId="169" fontId="7" fillId="0" borderId="0" xfId="5" applyNumberFormat="1" applyFont="1" applyBorder="1" applyAlignment="1">
      <alignment horizontal="center" vertical="center"/>
    </xf>
    <xf numFmtId="2" fontId="7" fillId="0" borderId="0" xfId="5" applyNumberFormat="1" applyFont="1" applyAlignment="1">
      <alignment horizontal="center" vertical="center"/>
    </xf>
    <xf numFmtId="2" fontId="7" fillId="0" borderId="0" xfId="5" applyNumberFormat="1" applyFont="1" applyBorder="1" applyAlignment="1">
      <alignment horizontal="center" vertical="center"/>
    </xf>
    <xf numFmtId="4" fontId="7" fillId="0" borderId="4" xfId="5" applyNumberFormat="1" applyFont="1" applyBorder="1" applyAlignment="1">
      <alignment horizontal="center" vertical="center"/>
    </xf>
    <xf numFmtId="0" fontId="7" fillId="0" borderId="8" xfId="5" applyFont="1" applyFill="1" applyBorder="1" applyAlignment="1">
      <alignment horizontal="center" vertical="center"/>
    </xf>
    <xf numFmtId="0" fontId="7" fillId="26" borderId="0" xfId="5" applyFont="1" applyFill="1" applyAlignment="1">
      <alignment horizontal="center" vertical="center"/>
    </xf>
    <xf numFmtId="0" fontId="7" fillId="0" borderId="4" xfId="5" applyFont="1" applyFill="1" applyBorder="1" applyAlignment="1">
      <alignment horizontal="center" vertical="center"/>
    </xf>
    <xf numFmtId="167" fontId="7" fillId="0" borderId="0" xfId="2" applyNumberFormat="1" applyFont="1" applyFill="1" applyAlignment="1">
      <alignment horizontal="center" vertical="center"/>
    </xf>
    <xf numFmtId="0" fontId="5" fillId="0" borderId="0" xfId="5" applyFont="1" applyBorder="1" applyAlignment="1">
      <alignment horizontal="center" vertical="center"/>
    </xf>
    <xf numFmtId="167" fontId="5" fillId="3" borderId="0" xfId="2" applyNumberFormat="1" applyFont="1" applyFill="1" applyAlignment="1">
      <alignment horizontal="center" vertical="center"/>
    </xf>
    <xf numFmtId="0" fontId="5" fillId="0" borderId="0" xfId="5" applyBorder="1" applyAlignment="1">
      <alignment horizontal="center" vertical="center"/>
    </xf>
    <xf numFmtId="3" fontId="7" fillId="0" borderId="8" xfId="5" applyNumberFormat="1" applyFont="1" applyFill="1" applyBorder="1" applyAlignment="1">
      <alignment horizontal="center" vertical="center"/>
    </xf>
    <xf numFmtId="0" fontId="7" fillId="0" borderId="4" xfId="5" applyNumberFormat="1" applyFont="1" applyFill="1" applyBorder="1" applyAlignment="1">
      <alignment horizontal="center" vertical="center"/>
    </xf>
    <xf numFmtId="3" fontId="7" fillId="0" borderId="0" xfId="5" applyNumberFormat="1" applyFont="1" applyFill="1" applyAlignment="1">
      <alignment horizontal="center" vertical="center"/>
    </xf>
    <xf numFmtId="0" fontId="5" fillId="0" borderId="8" xfId="5" applyFont="1" applyFill="1" applyBorder="1" applyAlignment="1">
      <alignment horizontal="center" vertical="center"/>
    </xf>
    <xf numFmtId="166" fontId="7" fillId="0" borderId="4" xfId="5" applyNumberFormat="1" applyFont="1" applyFill="1" applyBorder="1" applyAlignment="1">
      <alignment horizontal="center" vertical="center"/>
    </xf>
    <xf numFmtId="0" fontId="7" fillId="0" borderId="15" xfId="5" applyFont="1" applyFill="1" applyBorder="1" applyAlignment="1">
      <alignment horizontal="center" vertical="center" wrapText="1"/>
    </xf>
    <xf numFmtId="0" fontId="7" fillId="0" borderId="16" xfId="5" applyFont="1" applyFill="1" applyBorder="1" applyAlignment="1">
      <alignment horizontal="center" vertical="center" wrapText="1"/>
    </xf>
    <xf numFmtId="0" fontId="7" fillId="0" borderId="14" xfId="5" applyFont="1" applyFill="1" applyBorder="1" applyAlignment="1">
      <alignment horizontal="center" vertical="center" wrapText="1"/>
    </xf>
    <xf numFmtId="0" fontId="7" fillId="0" borderId="0" xfId="5" applyFont="1" applyFill="1" applyBorder="1" applyAlignment="1">
      <alignment horizontal="center" vertical="center"/>
    </xf>
    <xf numFmtId="199" fontId="5" fillId="9" borderId="0" xfId="4" applyNumberFormat="1" applyFont="1" applyFill="1" applyBorder="1" applyAlignment="1">
      <alignment horizontal="center" vertical="center"/>
    </xf>
    <xf numFmtId="0" fontId="5" fillId="0" borderId="0" xfId="5" applyFill="1" applyBorder="1" applyAlignment="1">
      <alignment horizontal="center" vertical="center"/>
    </xf>
    <xf numFmtId="0" fontId="12" fillId="0" borderId="0" xfId="5" applyFont="1" applyFill="1" applyBorder="1" applyAlignment="1">
      <alignment horizontal="left" vertical="center"/>
    </xf>
    <xf numFmtId="0" fontId="7" fillId="0" borderId="0" xfId="5" applyFont="1" applyFill="1" applyBorder="1" applyAlignment="1">
      <alignment vertical="center"/>
    </xf>
    <xf numFmtId="0" fontId="7" fillId="0" borderId="38" xfId="5" applyFont="1" applyFill="1" applyBorder="1" applyAlignment="1">
      <alignment horizontal="center" vertical="center"/>
    </xf>
    <xf numFmtId="0" fontId="5" fillId="0" borderId="8" xfId="5" applyFill="1" applyBorder="1" applyAlignment="1">
      <alignment horizontal="center" vertical="center"/>
    </xf>
    <xf numFmtId="0" fontId="5" fillId="0" borderId="0" xfId="5" applyFont="1" applyBorder="1" applyAlignment="1">
      <alignment horizontal="left" vertical="center"/>
    </xf>
    <xf numFmtId="0" fontId="12" fillId="0" borderId="38" xfId="5" applyFont="1" applyFill="1" applyBorder="1" applyAlignment="1">
      <alignment horizontal="center" vertical="center"/>
    </xf>
    <xf numFmtId="0" fontId="12" fillId="0" borderId="0" xfId="5" applyFont="1" applyFill="1" applyBorder="1" applyAlignment="1">
      <alignment horizontal="center" vertical="center"/>
    </xf>
    <xf numFmtId="0" fontId="34" fillId="0" borderId="19" xfId="0" applyFont="1" applyBorder="1" applyAlignment="1">
      <alignment horizontal="center" vertical="center" wrapText="1"/>
    </xf>
    <xf numFmtId="0" fontId="34" fillId="0" borderId="20" xfId="0" applyFont="1" applyBorder="1" applyAlignment="1">
      <alignment horizontal="center" vertical="center" wrapText="1"/>
    </xf>
    <xf numFmtId="0" fontId="34" fillId="0" borderId="21" xfId="0" applyFont="1" applyBorder="1" applyAlignment="1">
      <alignment horizontal="center" vertical="center" wrapText="1"/>
    </xf>
    <xf numFmtId="0" fontId="7" fillId="0" borderId="38" xfId="5" applyFont="1" applyBorder="1" applyAlignment="1">
      <alignment horizontal="center" vertical="center" wrapText="1"/>
    </xf>
    <xf numFmtId="0" fontId="116" fillId="31" borderId="0" xfId="0" applyFont="1" applyFill="1" applyBorder="1" applyAlignment="1">
      <alignment horizontal="justify" vertical="center"/>
    </xf>
    <xf numFmtId="0" fontId="116" fillId="0" borderId="42" xfId="0" applyFont="1" applyBorder="1" applyAlignment="1">
      <alignment horizontal="center" vertical="center"/>
    </xf>
    <xf numFmtId="0" fontId="116" fillId="0" borderId="43" xfId="0" applyFont="1" applyBorder="1" applyAlignment="1">
      <alignment horizontal="center" vertical="center"/>
    </xf>
    <xf numFmtId="0" fontId="116" fillId="0" borderId="44" xfId="0" applyFont="1" applyBorder="1" applyAlignment="1">
      <alignment horizontal="center" vertical="center"/>
    </xf>
    <xf numFmtId="0" fontId="116" fillId="0" borderId="40" xfId="0" applyFont="1" applyBorder="1" applyAlignment="1">
      <alignment horizontal="center" vertical="center"/>
    </xf>
    <xf numFmtId="0" fontId="116" fillId="0" borderId="41" xfId="0" applyFont="1" applyBorder="1" applyAlignment="1">
      <alignment horizontal="center" vertical="center"/>
    </xf>
    <xf numFmtId="0" fontId="116" fillId="0" borderId="49" xfId="0" applyFont="1" applyBorder="1" applyAlignment="1">
      <alignment horizontal="center" vertical="center"/>
    </xf>
    <xf numFmtId="176" fontId="7" fillId="31" borderId="4" xfId="5" applyNumberFormat="1" applyFont="1" applyFill="1" applyBorder="1" applyAlignment="1">
      <alignment horizontal="center" vertical="center"/>
    </xf>
    <xf numFmtId="0" fontId="7" fillId="0" borderId="0" xfId="5" applyFont="1" applyBorder="1" applyAlignment="1">
      <alignment horizontal="center" vertical="center" wrapText="1"/>
    </xf>
    <xf numFmtId="0" fontId="7" fillId="2" borderId="19" xfId="5" applyFont="1" applyFill="1" applyBorder="1" applyAlignment="1">
      <alignment horizontal="center" vertical="center"/>
    </xf>
    <xf numFmtId="0" fontId="7" fillId="2" borderId="20" xfId="5" applyFont="1" applyFill="1" applyBorder="1" applyAlignment="1">
      <alignment horizontal="center" vertical="center"/>
    </xf>
    <xf numFmtId="0" fontId="7" fillId="2" borderId="21" xfId="5" applyFont="1" applyFill="1" applyBorder="1" applyAlignment="1">
      <alignment horizontal="center" vertical="center"/>
    </xf>
    <xf numFmtId="0" fontId="7" fillId="2" borderId="52" xfId="5" applyFont="1" applyFill="1" applyBorder="1" applyAlignment="1">
      <alignment horizontal="center" vertical="center"/>
    </xf>
    <xf numFmtId="0" fontId="7" fillId="2" borderId="84" xfId="5" applyFont="1" applyFill="1" applyBorder="1" applyAlignment="1">
      <alignment horizontal="center" vertical="center"/>
    </xf>
    <xf numFmtId="0" fontId="7" fillId="2" borderId="76" xfId="5" applyFont="1" applyFill="1" applyBorder="1" applyAlignment="1">
      <alignment horizontal="center" vertical="center"/>
    </xf>
    <xf numFmtId="0" fontId="7" fillId="0" borderId="1" xfId="0" applyFont="1" applyFill="1" applyBorder="1" applyAlignment="1">
      <alignment horizontal="center" vertical="center"/>
    </xf>
    <xf numFmtId="167" fontId="5" fillId="17" borderId="47" xfId="2" applyNumberFormat="1" applyFont="1" applyFill="1" applyBorder="1" applyAlignment="1">
      <alignment horizontal="center" vertical="center"/>
    </xf>
    <xf numFmtId="167" fontId="5" fillId="17" borderId="50" xfId="2" applyNumberFormat="1" applyFont="1" applyFill="1" applyBorder="1" applyAlignment="1">
      <alignment horizontal="center" vertical="center"/>
    </xf>
    <xf numFmtId="167" fontId="8" fillId="0" borderId="5" xfId="2" applyNumberFormat="1" applyFont="1" applyFill="1" applyBorder="1" applyAlignment="1">
      <alignment horizontal="center" vertical="center"/>
    </xf>
    <xf numFmtId="0" fontId="7" fillId="2" borderId="7" xfId="0" applyFont="1" applyFill="1" applyBorder="1" applyAlignment="1">
      <alignment horizontal="center" vertical="center" wrapText="1"/>
    </xf>
    <xf numFmtId="0" fontId="7" fillId="2" borderId="8" xfId="0" applyFont="1" applyFill="1" applyBorder="1" applyAlignment="1">
      <alignment horizontal="center" vertical="center" wrapText="1"/>
    </xf>
    <xf numFmtId="0" fontId="7" fillId="2" borderId="11" xfId="0" applyFont="1" applyFill="1" applyBorder="1" applyAlignment="1">
      <alignment horizontal="center" vertical="center" wrapText="1"/>
    </xf>
    <xf numFmtId="0" fontId="5" fillId="0" borderId="38" xfId="0" applyFont="1" applyFill="1" applyBorder="1" applyAlignment="1">
      <alignment horizontal="left" vertical="center" wrapText="1"/>
    </xf>
    <xf numFmtId="0" fontId="5" fillId="0" borderId="0" xfId="0" applyFont="1" applyFill="1" applyBorder="1" applyAlignment="1">
      <alignment horizontal="left" vertical="center" wrapText="1"/>
    </xf>
    <xf numFmtId="0" fontId="5" fillId="0" borderId="39" xfId="0" applyFont="1" applyFill="1" applyBorder="1" applyAlignment="1">
      <alignment horizontal="left" vertical="center" wrapText="1"/>
    </xf>
    <xf numFmtId="0" fontId="50" fillId="24" borderId="42" xfId="0" applyFont="1" applyFill="1" applyBorder="1" applyAlignment="1">
      <alignment horizontal="center" vertical="center"/>
    </xf>
    <xf numFmtId="0" fontId="50" fillId="24" borderId="38" xfId="0" applyFont="1" applyFill="1" applyBorder="1" applyAlignment="1">
      <alignment horizontal="center" vertical="center"/>
    </xf>
    <xf numFmtId="0" fontId="50" fillId="24" borderId="40" xfId="0" applyFont="1" applyFill="1" applyBorder="1" applyAlignment="1">
      <alignment horizontal="center" vertical="center"/>
    </xf>
    <xf numFmtId="0" fontId="42" fillId="0" borderId="41" xfId="0" applyFont="1" applyBorder="1" applyAlignment="1">
      <alignment horizontal="center"/>
    </xf>
    <xf numFmtId="0" fontId="42" fillId="0" borderId="49" xfId="0" applyFont="1" applyBorder="1" applyAlignment="1">
      <alignment horizontal="center"/>
    </xf>
    <xf numFmtId="0" fontId="69" fillId="0" borderId="48" xfId="0" applyFont="1" applyFill="1" applyBorder="1" applyAlignment="1">
      <alignment horizontal="center" vertical="center" wrapText="1"/>
    </xf>
    <xf numFmtId="0" fontId="69" fillId="0" borderId="2" xfId="0" applyFont="1" applyFill="1" applyBorder="1" applyAlignment="1">
      <alignment horizontal="center" vertical="center" wrapText="1"/>
    </xf>
    <xf numFmtId="188" fontId="106" fillId="38" borderId="1" xfId="0" applyNumberFormat="1" applyFont="1" applyFill="1" applyBorder="1" applyAlignment="1">
      <alignment horizontal="center"/>
    </xf>
    <xf numFmtId="188" fontId="106" fillId="38" borderId="2" xfId="0" applyNumberFormat="1" applyFont="1" applyFill="1" applyBorder="1" applyAlignment="1">
      <alignment horizontal="center"/>
    </xf>
    <xf numFmtId="0" fontId="0" fillId="0" borderId="19" xfId="0" applyBorder="1" applyAlignment="1">
      <alignment horizontal="center"/>
    </xf>
    <xf numFmtId="0" fontId="0" fillId="0" borderId="20" xfId="0" applyBorder="1" applyAlignment="1">
      <alignment horizontal="center"/>
    </xf>
    <xf numFmtId="0" fontId="0" fillId="0" borderId="21" xfId="0" applyBorder="1" applyAlignment="1">
      <alignment horizontal="center"/>
    </xf>
    <xf numFmtId="0" fontId="44" fillId="0" borderId="5" xfId="5" applyFont="1" applyBorder="1" applyAlignment="1">
      <alignment horizontal="center"/>
    </xf>
    <xf numFmtId="0" fontId="44" fillId="17" borderId="0" xfId="5" applyFont="1" applyFill="1" applyAlignment="1">
      <alignment horizontal="center" vertical="center"/>
    </xf>
    <xf numFmtId="0" fontId="47" fillId="0" borderId="0" xfId="5" applyFont="1" applyAlignment="1">
      <alignment horizontal="center"/>
    </xf>
    <xf numFmtId="0" fontId="47" fillId="0" borderId="19" xfId="5" applyFont="1" applyBorder="1" applyAlignment="1">
      <alignment horizontal="center"/>
    </xf>
    <xf numFmtId="0" fontId="47" fillId="0" borderId="20" xfId="5" applyFont="1" applyBorder="1" applyAlignment="1">
      <alignment horizontal="center"/>
    </xf>
    <xf numFmtId="0" fontId="47" fillId="0" borderId="21" xfId="5" applyFont="1" applyBorder="1" applyAlignment="1">
      <alignment horizontal="center"/>
    </xf>
    <xf numFmtId="0" fontId="47" fillId="17" borderId="0" xfId="5" applyFont="1" applyFill="1" applyAlignment="1">
      <alignment horizontal="center" vertical="center"/>
    </xf>
    <xf numFmtId="0" fontId="47" fillId="17" borderId="0" xfId="5" applyFont="1" applyFill="1" applyAlignment="1">
      <alignment horizontal="center" vertical="center" wrapText="1"/>
    </xf>
    <xf numFmtId="0" fontId="49" fillId="0" borderId="19" xfId="5" applyFont="1" applyBorder="1" applyAlignment="1">
      <alignment horizontal="center"/>
    </xf>
    <xf numFmtId="0" fontId="49" fillId="0" borderId="20" xfId="5" applyFont="1" applyBorder="1" applyAlignment="1">
      <alignment horizontal="center"/>
    </xf>
    <xf numFmtId="0" fontId="7" fillId="0" borderId="19" xfId="0" applyFont="1" applyBorder="1" applyAlignment="1">
      <alignment horizontal="center"/>
    </xf>
    <xf numFmtId="0" fontId="7" fillId="0" borderId="21" xfId="0" applyFont="1" applyBorder="1" applyAlignment="1">
      <alignment horizontal="center"/>
    </xf>
    <xf numFmtId="0" fontId="7" fillId="0" borderId="42" xfId="0" applyFont="1" applyBorder="1" applyAlignment="1">
      <alignment horizontal="center"/>
    </xf>
    <xf numFmtId="0" fontId="7" fillId="0" borderId="43" xfId="0" applyFont="1" applyBorder="1" applyAlignment="1">
      <alignment horizontal="center"/>
    </xf>
    <xf numFmtId="0" fontId="7" fillId="0" borderId="44" xfId="0" applyFont="1" applyBorder="1" applyAlignment="1">
      <alignment horizontal="center"/>
    </xf>
    <xf numFmtId="0" fontId="14" fillId="0" borderId="19" xfId="0" applyFont="1" applyBorder="1" applyAlignment="1">
      <alignment horizontal="center"/>
    </xf>
    <xf numFmtId="0" fontId="14" fillId="0" borderId="21" xfId="0" applyFont="1" applyBorder="1" applyAlignment="1">
      <alignment horizont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44" xfId="0" applyBorder="1" applyAlignment="1">
      <alignment horizontal="center" vertical="center"/>
    </xf>
    <xf numFmtId="0" fontId="0" fillId="0" borderId="40" xfId="0" applyBorder="1" applyAlignment="1">
      <alignment horizontal="center" vertical="center"/>
    </xf>
    <xf numFmtId="0" fontId="0" fillId="0" borderId="41" xfId="0" applyBorder="1" applyAlignment="1">
      <alignment horizontal="center" vertical="center"/>
    </xf>
    <xf numFmtId="0" fontId="0" fillId="0" borderId="49" xfId="0" applyBorder="1" applyAlignment="1">
      <alignment horizontal="center" vertical="center"/>
    </xf>
    <xf numFmtId="0" fontId="44" fillId="0" borderId="0" xfId="5" applyFont="1" applyAlignment="1">
      <alignment horizontal="center" vertical="center"/>
    </xf>
    <xf numFmtId="0" fontId="50" fillId="8" borderId="1" xfId="5" applyFont="1" applyFill="1" applyBorder="1" applyAlignment="1">
      <alignment horizontal="center"/>
    </xf>
    <xf numFmtId="0" fontId="50" fillId="8" borderId="2" xfId="5" applyFont="1" applyFill="1" applyBorder="1" applyAlignment="1">
      <alignment horizontal="center"/>
    </xf>
    <xf numFmtId="0" fontId="50" fillId="8" borderId="3" xfId="5" applyFont="1" applyFill="1" applyBorder="1" applyAlignment="1">
      <alignment horizontal="center"/>
    </xf>
    <xf numFmtId="0" fontId="44" fillId="0" borderId="7" xfId="5" applyFont="1" applyBorder="1" applyAlignment="1">
      <alignment horizontal="center"/>
    </xf>
    <xf numFmtId="0" fontId="44" fillId="0" borderId="11" xfId="5" applyFont="1" applyBorder="1" applyAlignment="1">
      <alignment horizontal="center"/>
    </xf>
    <xf numFmtId="0" fontId="44" fillId="14" borderId="0" xfId="5" applyFont="1" applyFill="1" applyAlignment="1">
      <alignment horizontal="center" vertical="center" wrapText="1"/>
    </xf>
    <xf numFmtId="1" fontId="44" fillId="14" borderId="0" xfId="5" applyNumberFormat="1" applyFont="1" applyFill="1" applyAlignment="1">
      <alignment horizontal="center" vertical="center" wrapText="1"/>
    </xf>
    <xf numFmtId="2" fontId="44" fillId="0" borderId="15" xfId="5" applyNumberFormat="1" applyFont="1" applyBorder="1" applyAlignment="1">
      <alignment horizontal="center" vertical="center"/>
    </xf>
    <xf numFmtId="2" fontId="44" fillId="0" borderId="14" xfId="5" applyNumberFormat="1" applyFont="1" applyBorder="1" applyAlignment="1">
      <alignment horizontal="center" vertical="center"/>
    </xf>
    <xf numFmtId="0" fontId="50" fillId="8" borderId="1" xfId="0" applyFont="1" applyFill="1" applyBorder="1" applyAlignment="1">
      <alignment horizontal="center"/>
    </xf>
    <xf numFmtId="0" fontId="50" fillId="8" borderId="2" xfId="0" applyFont="1" applyFill="1" applyBorder="1" applyAlignment="1">
      <alignment horizontal="center"/>
    </xf>
    <xf numFmtId="0" fontId="50" fillId="8" borderId="3" xfId="0" applyFont="1" applyFill="1" applyBorder="1" applyAlignment="1">
      <alignment horizontal="center"/>
    </xf>
    <xf numFmtId="166" fontId="7" fillId="13" borderId="0" xfId="2" applyFont="1" applyFill="1" applyAlignment="1">
      <alignment horizontal="center"/>
    </xf>
    <xf numFmtId="0" fontId="7" fillId="13" borderId="0" xfId="0" applyFont="1" applyFill="1" applyAlignment="1">
      <alignment horizontal="center"/>
    </xf>
    <xf numFmtId="170" fontId="7" fillId="13" borderId="0" xfId="0" applyNumberFormat="1" applyFont="1" applyFill="1" applyAlignment="1">
      <alignment horizontal="center"/>
    </xf>
    <xf numFmtId="0" fontId="7" fillId="0" borderId="0" xfId="0" applyFont="1" applyAlignment="1">
      <alignment horizontal="left"/>
    </xf>
    <xf numFmtId="0" fontId="7" fillId="12" borderId="0" xfId="0" applyFont="1" applyFill="1" applyAlignment="1">
      <alignment horizontal="center"/>
    </xf>
    <xf numFmtId="167" fontId="17" fillId="0" borderId="0" xfId="2" applyNumberFormat="1" applyFont="1" applyFill="1" applyAlignment="1">
      <alignment horizontal="center" vertical="center" wrapText="1"/>
    </xf>
    <xf numFmtId="0" fontId="7" fillId="0" borderId="0" xfId="0" applyFont="1" applyFill="1" applyAlignment="1">
      <alignment horizontal="center" vertical="center"/>
    </xf>
    <xf numFmtId="0" fontId="7" fillId="0" borderId="0" xfId="0" applyFont="1" applyFill="1" applyAlignment="1">
      <alignment horizontal="center"/>
    </xf>
    <xf numFmtId="4" fontId="7" fillId="0" borderId="0" xfId="0" applyNumberFormat="1" applyFont="1" applyFill="1" applyAlignment="1">
      <alignment horizontal="center"/>
    </xf>
    <xf numFmtId="0" fontId="7" fillId="0" borderId="4" xfId="0" applyFont="1" applyFill="1" applyBorder="1" applyAlignment="1">
      <alignment horizontal="center"/>
    </xf>
    <xf numFmtId="0" fontId="7" fillId="0" borderId="8" xfId="0" applyFont="1" applyFill="1" applyBorder="1" applyAlignment="1">
      <alignment horizontal="center"/>
    </xf>
    <xf numFmtId="167" fontId="8" fillId="0" borderId="0" xfId="2" applyNumberFormat="1" applyFont="1" applyFill="1" applyAlignment="1">
      <alignment horizontal="center" vertical="center"/>
    </xf>
    <xf numFmtId="0" fontId="7" fillId="0" borderId="4" xfId="0" applyNumberFormat="1" applyFont="1" applyFill="1" applyBorder="1" applyAlignment="1">
      <alignment horizontal="center"/>
    </xf>
    <xf numFmtId="4" fontId="7" fillId="0" borderId="8" xfId="0" applyNumberFormat="1" applyFont="1" applyFill="1" applyBorder="1" applyAlignment="1">
      <alignment horizontal="center"/>
    </xf>
    <xf numFmtId="0" fontId="7" fillId="3" borderId="15" xfId="0" applyFont="1" applyFill="1" applyBorder="1" applyAlignment="1">
      <alignment horizontal="center" vertical="center" wrapText="1"/>
    </xf>
    <xf numFmtId="0" fontId="7" fillId="3" borderId="16" xfId="0" applyFont="1" applyFill="1" applyBorder="1" applyAlignment="1">
      <alignment horizontal="center" vertical="center" wrapText="1"/>
    </xf>
    <xf numFmtId="0" fontId="7" fillId="3" borderId="14" xfId="0" applyFont="1" applyFill="1" applyBorder="1" applyAlignment="1">
      <alignment horizontal="center" vertical="center" wrapText="1"/>
    </xf>
    <xf numFmtId="0" fontId="7" fillId="3" borderId="4" xfId="0" applyFont="1" applyFill="1" applyBorder="1" applyAlignment="1">
      <alignment horizontal="center"/>
    </xf>
    <xf numFmtId="0" fontId="7" fillId="3" borderId="0" xfId="0" applyFont="1" applyFill="1" applyBorder="1" applyAlignment="1">
      <alignment horizontal="center"/>
    </xf>
    <xf numFmtId="0" fontId="12" fillId="3" borderId="0" xfId="0" applyFont="1" applyFill="1" applyBorder="1" applyAlignment="1">
      <alignment horizontal="left"/>
    </xf>
    <xf numFmtId="0" fontId="7" fillId="3" borderId="0" xfId="0" applyFont="1" applyFill="1" applyBorder="1" applyAlignment="1"/>
    <xf numFmtId="4" fontId="7" fillId="3" borderId="8" xfId="0" applyNumberFormat="1" applyFont="1" applyFill="1" applyBorder="1" applyAlignment="1">
      <alignment horizontal="center"/>
    </xf>
    <xf numFmtId="0" fontId="7" fillId="3" borderId="0" xfId="0" applyFont="1" applyFill="1" applyAlignment="1">
      <alignment horizontal="center" vertical="center"/>
    </xf>
    <xf numFmtId="166" fontId="7" fillId="3" borderId="4" xfId="0" applyNumberFormat="1" applyFont="1" applyFill="1" applyBorder="1" applyAlignment="1">
      <alignment horizontal="center"/>
    </xf>
    <xf numFmtId="0" fontId="7" fillId="3" borderId="0" xfId="0" applyFont="1" applyFill="1" applyAlignment="1">
      <alignment horizontal="center"/>
    </xf>
    <xf numFmtId="4" fontId="7" fillId="3" borderId="0" xfId="0" applyNumberFormat="1" applyFont="1" applyFill="1" applyAlignment="1">
      <alignment horizontal="center"/>
    </xf>
    <xf numFmtId="0" fontId="76" fillId="2" borderId="4" xfId="5" applyFont="1" applyFill="1" applyBorder="1" applyAlignment="1" applyProtection="1">
      <alignment horizontal="left" vertical="center"/>
    </xf>
    <xf numFmtId="0" fontId="23" fillId="0" borderId="8" xfId="1" applyFont="1" applyBorder="1" applyAlignment="1" applyProtection="1">
      <alignment horizontal="left"/>
    </xf>
    <xf numFmtId="0" fontId="6" fillId="0" borderId="8" xfId="5" applyFont="1" applyFill="1" applyBorder="1" applyAlignment="1">
      <alignment horizontal="right"/>
    </xf>
    <xf numFmtId="0" fontId="24" fillId="0" borderId="0" xfId="5" applyFont="1" applyFill="1" applyBorder="1" applyAlignment="1">
      <alignment horizontal="center"/>
    </xf>
    <xf numFmtId="0" fontId="25" fillId="0" borderId="4" xfId="5" applyFont="1" applyFill="1" applyBorder="1" applyAlignment="1">
      <alignment horizontal="center"/>
    </xf>
    <xf numFmtId="0" fontId="26" fillId="0" borderId="5" xfId="5" applyFont="1" applyFill="1" applyBorder="1" applyAlignment="1">
      <alignment horizontal="center"/>
    </xf>
    <xf numFmtId="0" fontId="75" fillId="0" borderId="19" xfId="5" applyFont="1" applyFill="1" applyBorder="1" applyAlignment="1">
      <alignment horizontal="center"/>
    </xf>
    <xf numFmtId="0" fontId="75" fillId="0" borderId="20" xfId="5" applyFont="1" applyFill="1" applyBorder="1" applyAlignment="1">
      <alignment horizontal="center"/>
    </xf>
    <xf numFmtId="0" fontId="75" fillId="0" borderId="21" xfId="5" applyFont="1" applyFill="1" applyBorder="1" applyAlignment="1">
      <alignment horizontal="center"/>
    </xf>
    <xf numFmtId="182" fontId="28" fillId="28" borderId="23" xfId="5" applyNumberFormat="1" applyFont="1" applyFill="1" applyBorder="1" applyAlignment="1">
      <alignment horizontal="center" vertical="center"/>
    </xf>
    <xf numFmtId="182" fontId="28" fillId="28" borderId="24" xfId="5" applyNumberFormat="1" applyFont="1" applyFill="1" applyBorder="1" applyAlignment="1">
      <alignment horizontal="center" vertical="center"/>
    </xf>
    <xf numFmtId="182" fontId="28" fillId="28" borderId="25" xfId="5" applyNumberFormat="1" applyFont="1" applyFill="1" applyBorder="1" applyAlignment="1">
      <alignment horizontal="center" vertical="center"/>
    </xf>
    <xf numFmtId="182" fontId="28" fillId="29" borderId="23" xfId="5" applyNumberFormat="1" applyFont="1" applyFill="1" applyBorder="1" applyAlignment="1">
      <alignment horizontal="center" vertical="center"/>
    </xf>
    <xf numFmtId="182" fontId="28" fillId="29" borderId="24" xfId="5" applyNumberFormat="1" applyFont="1" applyFill="1" applyBorder="1" applyAlignment="1">
      <alignment horizontal="center" vertical="center"/>
    </xf>
    <xf numFmtId="182" fontId="28" fillId="29" borderId="25" xfId="5" applyNumberFormat="1" applyFont="1" applyFill="1" applyBorder="1" applyAlignment="1">
      <alignment horizontal="center" vertical="center"/>
    </xf>
    <xf numFmtId="0" fontId="7" fillId="26" borderId="1" xfId="0" applyFont="1" applyFill="1" applyBorder="1" applyAlignment="1">
      <alignment horizontal="center"/>
    </xf>
    <xf numFmtId="0" fontId="7" fillId="26" borderId="2" xfId="0" applyFont="1" applyFill="1" applyBorder="1" applyAlignment="1">
      <alignment horizontal="center"/>
    </xf>
    <xf numFmtId="0" fontId="7" fillId="26" borderId="3" xfId="0" applyFont="1" applyFill="1" applyBorder="1" applyAlignment="1">
      <alignment horizontal="center"/>
    </xf>
    <xf numFmtId="0" fontId="5" fillId="0" borderId="19" xfId="0" applyFont="1" applyBorder="1" applyAlignment="1">
      <alignment horizontal="center"/>
    </xf>
    <xf numFmtId="44" fontId="0" fillId="0" borderId="83" xfId="0" applyNumberFormat="1" applyBorder="1" applyAlignment="1">
      <alignment horizontal="center" vertical="center"/>
    </xf>
    <xf numFmtId="0" fontId="0" fillId="0" borderId="73" xfId="0" applyBorder="1" applyAlignment="1">
      <alignment horizontal="center" vertical="center"/>
    </xf>
    <xf numFmtId="0" fontId="5" fillId="0" borderId="0" xfId="0" applyFont="1" applyAlignment="1">
      <alignment horizontal="center"/>
    </xf>
    <xf numFmtId="0" fontId="69" fillId="14" borderId="38" xfId="0" applyFont="1" applyFill="1" applyBorder="1" applyAlignment="1">
      <alignment vertical="center"/>
    </xf>
    <xf numFmtId="0" fontId="69" fillId="14" borderId="38" xfId="0" applyFont="1" applyFill="1" applyBorder="1" applyAlignment="1">
      <alignment horizontal="left" vertical="center" wrapText="1"/>
    </xf>
    <xf numFmtId="0" fontId="69" fillId="14" borderId="0" xfId="0" applyFont="1" applyFill="1" applyBorder="1" applyAlignment="1">
      <alignment horizontal="left" vertical="center" wrapText="1"/>
    </xf>
    <xf numFmtId="0" fontId="69" fillId="14" borderId="39" xfId="0" applyFont="1" applyFill="1" applyBorder="1" applyAlignment="1">
      <alignment horizontal="left" vertical="center" wrapText="1"/>
    </xf>
    <xf numFmtId="0" fontId="69" fillId="14" borderId="0" xfId="0" applyFont="1" applyFill="1" applyBorder="1" applyAlignment="1">
      <alignment vertical="center"/>
    </xf>
    <xf numFmtId="0" fontId="71" fillId="14" borderId="38" xfId="0" applyFont="1" applyFill="1" applyBorder="1" applyAlignment="1">
      <alignment vertical="center"/>
    </xf>
    <xf numFmtId="0" fontId="46" fillId="14" borderId="38" xfId="0" applyFont="1" applyFill="1" applyBorder="1" applyAlignment="1">
      <alignment vertical="center"/>
    </xf>
  </cellXfs>
  <cellStyles count="85">
    <cellStyle name="20% - Énfasis1" xfId="43" builtinId="30" customBuiltin="1"/>
    <cellStyle name="20% - Énfasis2" xfId="47" builtinId="34" customBuiltin="1"/>
    <cellStyle name="20% - Énfasis3" xfId="51" builtinId="38" customBuiltin="1"/>
    <cellStyle name="20% - Énfasis4" xfId="55" builtinId="42" customBuiltin="1"/>
    <cellStyle name="20% - Énfasis5" xfId="59" builtinId="46" customBuiltin="1"/>
    <cellStyle name="20% - Énfasis6" xfId="63" builtinId="50" customBuiltin="1"/>
    <cellStyle name="40% - Énfasis1" xfId="44" builtinId="31" customBuiltin="1"/>
    <cellStyle name="40% - Énfasis2" xfId="48" builtinId="35" customBuiltin="1"/>
    <cellStyle name="40% - Énfasis3" xfId="52" builtinId="39" customBuiltin="1"/>
    <cellStyle name="40% - Énfasis4" xfId="56" builtinId="43" customBuiltin="1"/>
    <cellStyle name="40% - Énfasis5" xfId="60" builtinId="47" customBuiltin="1"/>
    <cellStyle name="40% - Énfasis6" xfId="64" builtinId="51" customBuiltin="1"/>
    <cellStyle name="60% - Énfasis1" xfId="45" builtinId="32" customBuiltin="1"/>
    <cellStyle name="60% - Énfasis2" xfId="49" builtinId="36" customBuiltin="1"/>
    <cellStyle name="60% - Énfasis3" xfId="53" builtinId="40" customBuiltin="1"/>
    <cellStyle name="60% - Énfasis4" xfId="57" builtinId="44" customBuiltin="1"/>
    <cellStyle name="60% - Énfasis5" xfId="61" builtinId="48" customBuiltin="1"/>
    <cellStyle name="60% - Énfasis6" xfId="65" builtinId="52" customBuiltin="1"/>
    <cellStyle name="Cálculo" xfId="36" builtinId="22" customBuiltin="1"/>
    <cellStyle name="Celda de comprobación" xfId="38" builtinId="23" customBuiltin="1"/>
    <cellStyle name="Celda vinculada" xfId="37" builtinId="24" customBuiltin="1"/>
    <cellStyle name="Encabezado 1 2" xfId="67"/>
    <cellStyle name="Encabezado 4" xfId="31" builtinId="19" customBuiltin="1"/>
    <cellStyle name="Énfasis1" xfId="42" builtinId="29" customBuiltin="1"/>
    <cellStyle name="Énfasis2" xfId="46" builtinId="33" customBuiltin="1"/>
    <cellStyle name="Énfasis3" xfId="50" builtinId="37" customBuiltin="1"/>
    <cellStyle name="Énfasis4" xfId="54" builtinId="41" customBuiltin="1"/>
    <cellStyle name="Énfasis5" xfId="58" builtinId="45" customBuiltin="1"/>
    <cellStyle name="Énfasis6" xfId="62" builtinId="49" customBuiltin="1"/>
    <cellStyle name="Entrada" xfId="34" builtinId="20" customBuiltin="1"/>
    <cellStyle name="Euro" xfId="68"/>
    <cellStyle name="Hipervínculo" xfId="1" builtinId="8"/>
    <cellStyle name="Hipervínculo 2" xfId="69"/>
    <cellStyle name="Hyperlink 2" xfId="70"/>
    <cellStyle name="Incorrecto" xfId="32" builtinId="27" customBuiltin="1"/>
    <cellStyle name="Millares" xfId="2" builtinId="3"/>
    <cellStyle name="Millares 2" xfId="3"/>
    <cellStyle name="Millares 2 2" xfId="13"/>
    <cellStyle name="Millares 2 2 2" xfId="19"/>
    <cellStyle name="Millares 2 2 3" xfId="72"/>
    <cellStyle name="Millares 2 3" xfId="14"/>
    <cellStyle name="Millares 2 4" xfId="23"/>
    <cellStyle name="Millares 2 5" xfId="71"/>
    <cellStyle name="Millares 3" xfId="25"/>
    <cellStyle name="Millares 3 2" xfId="74"/>
    <cellStyle name="Millares 3 3" xfId="73"/>
    <cellStyle name="Millares 4" xfId="26"/>
    <cellStyle name="Millares 4 2" xfId="75"/>
    <cellStyle name="Moneda" xfId="4" builtinId="4"/>
    <cellStyle name="Moneda 2" xfId="27"/>
    <cellStyle name="Neutral" xfId="33" builtinId="28" customBuiltin="1"/>
    <cellStyle name="Normal" xfId="0" builtinId="0"/>
    <cellStyle name="Normal 2" xfId="5"/>
    <cellStyle name="Normal 2 2" xfId="22"/>
    <cellStyle name="Normal 3" xfId="6"/>
    <cellStyle name="Normal 3 2" xfId="12"/>
    <cellStyle name="Normal 3 2 2" xfId="18"/>
    <cellStyle name="Normal 3 2 3" xfId="77"/>
    <cellStyle name="Normal 3 3" xfId="15"/>
    <cellStyle name="Normal 3 3 2" xfId="78"/>
    <cellStyle name="Normal 3 4" xfId="24"/>
    <cellStyle name="Normal 3 5" xfId="76"/>
    <cellStyle name="Normal 4" xfId="7"/>
    <cellStyle name="Normal 4 2" xfId="8"/>
    <cellStyle name="Normal 5" xfId="21"/>
    <cellStyle name="Normal 5 2" xfId="79"/>
    <cellStyle name="Normal 6" xfId="80"/>
    <cellStyle name="Normal 6 2" xfId="81"/>
    <cellStyle name="Normal 7" xfId="82"/>
    <cellStyle name="Normal 8" xfId="66"/>
    <cellStyle name="Notas 2" xfId="83"/>
    <cellStyle name="Porcentaje" xfId="9" builtinId="5"/>
    <cellStyle name="Porcentaje 2" xfId="11"/>
    <cellStyle name="Porcentaje 2 2" xfId="17"/>
    <cellStyle name="Porcentaje 3" xfId="28"/>
    <cellStyle name="Porcentaje 4" xfId="20"/>
    <cellStyle name="Porcentual 2" xfId="10"/>
    <cellStyle name="Porcentual 2 2" xfId="16"/>
    <cellStyle name="Salida" xfId="35" builtinId="21" customBuiltin="1"/>
    <cellStyle name="Texto de advertencia" xfId="39" builtinId="11" customBuiltin="1"/>
    <cellStyle name="Texto explicativo" xfId="40" builtinId="53" customBuiltin="1"/>
    <cellStyle name="Título 2" xfId="29" builtinId="17" customBuiltin="1"/>
    <cellStyle name="Título 3" xfId="30" builtinId="18" customBuiltin="1"/>
    <cellStyle name="Título 4" xfId="84"/>
    <cellStyle name="Total" xfId="41" builtinId="25" customBuiltin="1"/>
  </cellStyles>
  <dxfs count="1">
    <dxf>
      <fill>
        <patternFill>
          <bgColor indexed="47"/>
        </patternFill>
      </fill>
    </dxf>
  </dxfs>
  <tableStyles count="1" defaultTableStyle="TableStyleMedium9" defaultPivotStyle="PivotStyleLight16">
    <tableStyle name="Invisible" pivot="0" table="0" count="0"/>
  </tableStyles>
  <colors>
    <mruColors>
      <color rgb="FF66FF66"/>
      <color rgb="FFFF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externalLink" Target="externalLinks/externalLink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4.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3.xml"/><Relationship Id="rId27" Type="http://schemas.openxmlformats.org/officeDocument/2006/relationships/calcChain" Target="calcChain.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view3D>
      <c:rotX val="30"/>
      <c:rotY val="250"/>
      <c:rAngAx val="0"/>
      <c:perspective val="0"/>
    </c:view3D>
    <c:floor>
      <c:thickness val="0"/>
    </c:floor>
    <c:sideWall>
      <c:thickness val="0"/>
    </c:sideWall>
    <c:backWall>
      <c:thickness val="0"/>
    </c:backWall>
    <c:plotArea>
      <c:layout>
        <c:manualLayout>
          <c:layoutTarget val="inner"/>
          <c:xMode val="edge"/>
          <c:yMode val="edge"/>
          <c:x val="0.18518552008376737"/>
          <c:y val="0.25806451612903231"/>
          <c:w val="0.59259366426805549"/>
          <c:h val="0.46082949308755938"/>
        </c:manualLayout>
      </c:layout>
      <c:pie3DChart>
        <c:varyColors val="1"/>
        <c:ser>
          <c:idx val="0"/>
          <c:order val="0"/>
          <c:explosion val="8"/>
          <c:dLbls>
            <c:dLbl>
              <c:idx val="0"/>
              <c:layout>
                <c:manualLayout>
                  <c:x val="-3.6834840089433507E-3"/>
                  <c:y val="-7.3755480339932122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0-6D28-4AA9-B463-EEC5A4FD7DBE}"/>
                </c:ext>
              </c:extLst>
            </c:dLbl>
            <c:dLbl>
              <c:idx val="1"/>
              <c:layout>
                <c:manualLayout>
                  <c:x val="5.906095071449402E-2"/>
                  <c:y val="9.6112863980648208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6D28-4AA9-B463-EEC5A4FD7DBE}"/>
                </c:ext>
              </c:extLst>
            </c:dLbl>
            <c:dLbl>
              <c:idx val="2"/>
              <c:layout>
                <c:manualLayout>
                  <c:x val="-7.5193545251288033E-2"/>
                  <c:y val="8.7441677510043489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6D28-4AA9-B463-EEC5A4FD7DBE}"/>
                </c:ext>
              </c:extLst>
            </c:dLbl>
            <c:dLbl>
              <c:idx val="3"/>
              <c:layout>
                <c:manualLayout>
                  <c:x val="-5.3221930592009296E-2"/>
                  <c:y val="0.1079919406693580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6D28-4AA9-B463-EEC5A4FD7DBE}"/>
                </c:ext>
              </c:extLst>
            </c:dLbl>
            <c:spPr>
              <a:ln>
                <a:solidFill>
                  <a:schemeClr val="tx1">
                    <a:lumMod val="50000"/>
                    <a:lumOff val="50000"/>
                  </a:schemeClr>
                </a:solidFill>
              </a:ln>
            </c:spPr>
            <c:txPr>
              <a:bodyPr/>
              <a:lstStyle/>
              <a:p>
                <a:pPr>
                  <a:defRPr sz="900" b="0" i="0" u="none" strike="noStrike" baseline="0">
                    <a:solidFill>
                      <a:srgbClr val="000000"/>
                    </a:solidFill>
                    <a:latin typeface="Calibri"/>
                    <a:ea typeface="Calibri"/>
                    <a:cs typeface="Calibri"/>
                  </a:defRPr>
                </a:pPr>
                <a:endParaRPr lang="en-US"/>
              </a:p>
            </c:txPr>
            <c:showLegendKey val="0"/>
            <c:showVal val="0"/>
            <c:showCatName val="1"/>
            <c:showSerName val="0"/>
            <c:showPercent val="1"/>
            <c:showBubbleSize val="0"/>
            <c:showLeaderLines val="1"/>
            <c:extLst>
              <c:ext xmlns:c15="http://schemas.microsoft.com/office/drawing/2012/chart" uri="{CE6537A1-D6FC-4f65-9D91-7224C49458BB}"/>
            </c:extLst>
          </c:dLbls>
          <c:cat>
            <c:strRef>
              <c:f>('Resumen de Calculo 2017'!$B$4,'Resumen de Calculo 2017'!$B$14,'Resumen de Calculo 2017'!$B$22,'Resumen de Calculo 2017'!$B$29)</c:f>
              <c:strCache>
                <c:ptCount val="4"/>
                <c:pt idx="0">
                  <c:v>COSTOS ASOCIADOS AL PERSONAL</c:v>
                </c:pt>
                <c:pt idx="1">
                  <c:v>COSTOS VARIABLES ASOCIADOS AL VEHICULO</c:v>
                </c:pt>
                <c:pt idx="2">
                  <c:v>COSTOS FIJOS ASOCIADOS AL VEHICULO</c:v>
                </c:pt>
                <c:pt idx="3">
                  <c:v>COSTOS EMPRESARIOS E IMPOSITIVOS</c:v>
                </c:pt>
              </c:strCache>
            </c:strRef>
          </c:cat>
          <c:val>
            <c:numRef>
              <c:f>('Resumen de Calculo 2017'!$P$4,'Resumen de Calculo 2017'!$P$14,'Resumen de Calculo 2017'!$P$22,'Resumen de Calculo 2017'!$P$29)</c:f>
              <c:numCache>
                <c:formatCode>_ * #,##0.0000_ ;_ * \-#,##0.0000_ ;_ * "-"??_ ;_ @_ </c:formatCode>
                <c:ptCount val="4"/>
                <c:pt idx="0">
                  <c:v>0</c:v>
                </c:pt>
                <c:pt idx="1">
                  <c:v>0</c:v>
                </c:pt>
                <c:pt idx="2">
                  <c:v>0</c:v>
                </c:pt>
                <c:pt idx="3">
                  <c:v>0</c:v>
                </c:pt>
              </c:numCache>
            </c:numRef>
          </c:val>
          <c:extLst>
            <c:ext xmlns:c16="http://schemas.microsoft.com/office/drawing/2014/chart" uri="{C3380CC4-5D6E-409C-BE32-E72D297353CC}">
              <c16:uniqueId val="{00000004-6D28-4AA9-B463-EEC5A4FD7DBE}"/>
            </c:ext>
          </c:extLst>
        </c:ser>
        <c:dLbls>
          <c:showLegendKey val="0"/>
          <c:showVal val="0"/>
          <c:showCatName val="0"/>
          <c:showSerName val="0"/>
          <c:showPercent val="0"/>
          <c:showBubbleSize val="0"/>
          <c:showLeaderLines val="1"/>
        </c:dLbls>
      </c:pie3DChart>
      <c:spPr>
        <a:noFill/>
        <a:ln w="25400">
          <a:noFill/>
        </a:ln>
      </c:spPr>
    </c:plotArea>
    <c:plotVisOnly val="1"/>
    <c:dispBlanksAs val="zero"/>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0000000000004" l="0.70000000000000062" r="0.70000000000000062" t="0.750000000000004" header="0.30000000000000032" footer="0.30000000000000032"/>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view3D>
      <c:rotX val="30"/>
      <c:rotY val="0"/>
      <c:rAngAx val="0"/>
      <c:perspective val="0"/>
    </c:view3D>
    <c:floor>
      <c:thickness val="0"/>
    </c:floor>
    <c:sideWall>
      <c:thickness val="0"/>
    </c:sideWall>
    <c:backWall>
      <c:thickness val="0"/>
    </c:backWall>
    <c:plotArea>
      <c:layout>
        <c:manualLayout>
          <c:layoutTarget val="inner"/>
          <c:xMode val="edge"/>
          <c:yMode val="edge"/>
          <c:x val="0.28966375270630379"/>
          <c:y val="0.23405497306958087"/>
          <c:w val="0.50429457431146818"/>
          <c:h val="0.48400000000000032"/>
        </c:manualLayout>
      </c:layout>
      <c:pie3DChart>
        <c:varyColors val="1"/>
        <c:ser>
          <c:idx val="0"/>
          <c:order val="0"/>
          <c:explosion val="42"/>
          <c:dLbls>
            <c:dLbl>
              <c:idx val="5"/>
              <c:layout>
                <c:manualLayout>
                  <c:x val="3.2237921271230992E-2"/>
                  <c:y val="0.19767573584690154"/>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ACFA-41EB-ACCD-9EA9C5A6FFA1}"/>
                </c:ext>
              </c:extLst>
            </c:dLbl>
            <c:dLbl>
              <c:idx val="6"/>
              <c:layout>
                <c:manualLayout>
                  <c:x val="-4.110523615371018E-2"/>
                  <c:y val="0.21562240491029591"/>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6-ACFA-41EB-ACCD-9EA9C5A6FFA1}"/>
                </c:ext>
              </c:extLst>
            </c:dLbl>
            <c:dLbl>
              <c:idx val="7"/>
              <c:layout>
                <c:manualLayout>
                  <c:x val="-0.16381380771193121"/>
                  <c:y val="0.2519634910960629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ACFA-41EB-ACCD-9EA9C5A6FFA1}"/>
                </c:ext>
              </c:extLst>
            </c:dLbl>
            <c:dLbl>
              <c:idx val="8"/>
              <c:layout>
                <c:manualLayout>
                  <c:x val="-0.18523749779755008"/>
                  <c:y val="0.16445624708015841"/>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8-ACFA-41EB-ACCD-9EA9C5A6FFA1}"/>
                </c:ext>
              </c:extLst>
            </c:dLbl>
            <c:dLbl>
              <c:idx val="9"/>
              <c:layout>
                <c:manualLayout>
                  <c:x val="-3.9318720020999932E-2"/>
                  <c:y val="0.18159589298236356"/>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ACFA-41EB-ACCD-9EA9C5A6FFA1}"/>
                </c:ext>
              </c:extLst>
            </c:dLbl>
            <c:dLbl>
              <c:idx val="20"/>
              <c:layout>
                <c:manualLayout>
                  <c:x val="0.10877192201478712"/>
                  <c:y val="-0.1077057604788967"/>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14-ACFA-41EB-ACCD-9EA9C5A6FFA1}"/>
                </c:ext>
              </c:extLst>
            </c:dLbl>
            <c:dLbl>
              <c:idx val="21"/>
              <c:layout>
                <c:manualLayout>
                  <c:x val="0.13347649204109363"/>
                  <c:y val="-5.8246803036728918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15-ACFA-41EB-ACCD-9EA9C5A6FFA1}"/>
                </c:ext>
              </c:extLst>
            </c:dLbl>
            <c:spPr>
              <a:ln>
                <a:solidFill>
                  <a:sysClr val="windowText" lastClr="000000"/>
                </a:solidFill>
              </a:ln>
            </c:spPr>
            <c:txPr>
              <a:bodyPr/>
              <a:lstStyle/>
              <a:p>
                <a:pPr>
                  <a:defRPr sz="1000" b="0" i="0" u="none" strike="noStrike" baseline="0">
                    <a:solidFill>
                      <a:srgbClr val="000000"/>
                    </a:solidFill>
                    <a:latin typeface="Calibri"/>
                    <a:ea typeface="Calibri"/>
                    <a:cs typeface="Calibri"/>
                  </a:defRPr>
                </a:pPr>
                <a:endParaRPr lang="en-US"/>
              </a:p>
            </c:txPr>
            <c:showLegendKey val="0"/>
            <c:showVal val="0"/>
            <c:showCatName val="1"/>
            <c:showSerName val="0"/>
            <c:showPercent val="1"/>
            <c:showBubbleSize val="0"/>
            <c:showLeaderLines val="1"/>
            <c:extLst>
              <c:ext xmlns:c15="http://schemas.microsoft.com/office/drawing/2012/chart" uri="{CE6537A1-D6FC-4f65-9D91-7224C49458BB}"/>
            </c:extLst>
          </c:dLbls>
          <c:cat>
            <c:strRef>
              <c:f>('Resumen de Calculo 2017'!$B$6:$B$12,'Resumen de Calculo 2017'!$B$16:$B$20,'Resumen de Calculo 2017'!$B$24:$B$27,'Resumen de Calculo 2017'!$B$31:$B$36)</c:f>
              <c:strCache>
                <c:ptCount val="22"/>
                <c:pt idx="0">
                  <c:v>Horas Hombre del Personal de Conducción</c:v>
                </c:pt>
                <c:pt idx="1">
                  <c:v>Incidencia Económica por Horas Extras</c:v>
                </c:pt>
                <c:pt idx="2">
                  <c:v>Horas del Personal de Taller y Administración</c:v>
                </c:pt>
                <c:pt idx="3">
                  <c:v>Cargas Sociales</c:v>
                </c:pt>
                <c:pt idx="4">
                  <c:v>Seguro del Personal</c:v>
                </c:pt>
                <c:pt idx="5">
                  <c:v>Viáticos</c:v>
                </c:pt>
                <c:pt idx="6">
                  <c:v>Indumentaria</c:v>
                </c:pt>
                <c:pt idx="7">
                  <c:v>Combustible</c:v>
                </c:pt>
                <c:pt idx="8">
                  <c:v>Lubricantes</c:v>
                </c:pt>
                <c:pt idx="9">
                  <c:v>Neumáticos</c:v>
                </c:pt>
                <c:pt idx="10">
                  <c:v>Reparación Neumáticos</c:v>
                </c:pt>
                <c:pt idx="11">
                  <c:v>Lavado y Engrase</c:v>
                </c:pt>
                <c:pt idx="12">
                  <c:v>Amortización</c:v>
                </c:pt>
                <c:pt idx="13">
                  <c:v>Interés sobre Capital Invertido</c:v>
                </c:pt>
                <c:pt idx="14">
                  <c:v>Reparaciones y Repuestos</c:v>
                </c:pt>
                <c:pt idx="15">
                  <c:v>Seguro</c:v>
                </c:pt>
                <c:pt idx="16">
                  <c:v>Depreciación de bienes muebles e inmuebles</c:v>
                </c:pt>
                <c:pt idx="17">
                  <c:v>Interés sobre el capital de bienes muebles e inmuebles</c:v>
                </c:pt>
                <c:pt idx="18">
                  <c:v>Patentes</c:v>
                </c:pt>
                <c:pt idx="19">
                  <c:v>Gastos Generales</c:v>
                </c:pt>
                <c:pt idx="20">
                  <c:v>Beneficios</c:v>
                </c:pt>
                <c:pt idx="21">
                  <c:v>Impuestos</c:v>
                </c:pt>
              </c:strCache>
            </c:strRef>
          </c:cat>
          <c:val>
            <c:numRef>
              <c:f>('Resumen de Calculo 2017'!$P$6:$P$12,'Resumen de Calculo 2017'!$P$16:$P$20,'Resumen de Calculo 2017'!$P$24:$P$27,'Resumen de Calculo 2017'!$P$31:$P$36)</c:f>
              <c:numCache>
                <c:formatCode>_ * #,##0.0000_ ;_ * \-#,##0.0000_ ;_ * "-"??_ ;_ @_ </c:formatCode>
                <c:ptCount val="2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numCache>
            </c:numRef>
          </c:val>
          <c:extLst>
            <c:ext xmlns:c16="http://schemas.microsoft.com/office/drawing/2014/chart" uri="{C3380CC4-5D6E-409C-BE32-E72D297353CC}">
              <c16:uniqueId val="{00000016-ACFA-41EB-ACCD-9EA9C5A6FFA1}"/>
            </c:ext>
          </c:extLst>
        </c:ser>
        <c:dLbls>
          <c:showLegendKey val="0"/>
          <c:showVal val="0"/>
          <c:showCatName val="0"/>
          <c:showSerName val="0"/>
          <c:showPercent val="0"/>
          <c:showBubbleSize val="0"/>
          <c:showLeaderLines val="1"/>
        </c:dLbls>
      </c:pie3DChart>
      <c:spPr>
        <a:noFill/>
        <a:ln w="25400">
          <a:noFill/>
        </a:ln>
      </c:spPr>
    </c:plotArea>
    <c:plotVisOnly val="1"/>
    <c:dispBlanksAs val="zero"/>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0000000000004" l="0.70000000000000062" r="0.70000000000000062" t="0.750000000000004" header="0.30000000000000032" footer="0.30000000000000032"/>
    <c:pageSetup/>
  </c:printSettings>
</c:chartSpac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 Id="rId4" Type="http://schemas.openxmlformats.org/officeDocument/2006/relationships/image" Target="../media/image5.emf"/></Relationships>
</file>

<file path=xl/drawings/_rels/drawing3.xml.rels><?xml version="1.0" encoding="UTF-8" standalone="yes"?>
<Relationships xmlns="http://schemas.openxmlformats.org/package/2006/relationships"><Relationship Id="rId1" Type="http://schemas.openxmlformats.org/officeDocument/2006/relationships/image" Target="../media/image6.emf"/></Relationships>
</file>

<file path=xl/drawings/_rels/drawing5.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15.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2.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3.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4.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5.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6.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7.vml.rels><?xml version="1.0" encoding="UTF-8" standalone="yes"?>
<Relationships xmlns="http://schemas.openxmlformats.org/package/2006/relationships"><Relationship Id="rId1" Type="http://schemas.openxmlformats.org/officeDocument/2006/relationships/image" Target="../media/image1.jpeg"/></Relationships>
</file>

<file path=xl/drawings/drawing1.xml><?xml version="1.0" encoding="utf-8"?>
<xdr:wsDr xmlns:xdr="http://schemas.openxmlformats.org/drawingml/2006/spreadsheetDrawing" xmlns:a="http://schemas.openxmlformats.org/drawingml/2006/main">
  <xdr:twoCellAnchor>
    <xdr:from>
      <xdr:col>39</xdr:col>
      <xdr:colOff>466725</xdr:colOff>
      <xdr:row>0</xdr:row>
      <xdr:rowOff>57150</xdr:rowOff>
    </xdr:from>
    <xdr:to>
      <xdr:col>46</xdr:col>
      <xdr:colOff>276225</xdr:colOff>
      <xdr:row>19</xdr:row>
      <xdr:rowOff>123825</xdr:rowOff>
    </xdr:to>
    <xdr:graphicFrame macro="">
      <xdr:nvGraphicFramePr>
        <xdr:cNvPr id="4423811" name="1 Gráfico">
          <a:extLst>
            <a:ext uri="{FF2B5EF4-FFF2-40B4-BE49-F238E27FC236}">
              <a16:creationId xmlns:a16="http://schemas.microsoft.com/office/drawing/2014/main" id="{00000000-0008-0000-0200-0000838043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39</xdr:col>
      <xdr:colOff>381000</xdr:colOff>
      <xdr:row>21</xdr:row>
      <xdr:rowOff>66675</xdr:rowOff>
    </xdr:from>
    <xdr:to>
      <xdr:col>48</xdr:col>
      <xdr:colOff>485775</xdr:colOff>
      <xdr:row>49</xdr:row>
      <xdr:rowOff>0</xdr:rowOff>
    </xdr:to>
    <xdr:graphicFrame macro="">
      <xdr:nvGraphicFramePr>
        <xdr:cNvPr id="4423812" name="2 Gráfico">
          <a:extLst>
            <a:ext uri="{FF2B5EF4-FFF2-40B4-BE49-F238E27FC236}">
              <a16:creationId xmlns:a16="http://schemas.microsoft.com/office/drawing/2014/main" id="{00000000-0008-0000-0200-0000848043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19</xdr:col>
      <xdr:colOff>95250</xdr:colOff>
      <xdr:row>197</xdr:row>
      <xdr:rowOff>9525</xdr:rowOff>
    </xdr:from>
    <xdr:to>
      <xdr:col>25</xdr:col>
      <xdr:colOff>447675</xdr:colOff>
      <xdr:row>243</xdr:row>
      <xdr:rowOff>142875</xdr:rowOff>
    </xdr:to>
    <xdr:pic>
      <xdr:nvPicPr>
        <xdr:cNvPr id="2" name="Picture 26">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7317700" y="31794450"/>
          <a:ext cx="6629400" cy="7686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19</xdr:col>
      <xdr:colOff>228600</xdr:colOff>
      <xdr:row>247</xdr:row>
      <xdr:rowOff>28575</xdr:rowOff>
    </xdr:from>
    <xdr:to>
      <xdr:col>24</xdr:col>
      <xdr:colOff>200025</xdr:colOff>
      <xdr:row>256</xdr:row>
      <xdr:rowOff>95251</xdr:rowOff>
    </xdr:to>
    <xdr:pic>
      <xdr:nvPicPr>
        <xdr:cNvPr id="3" name="Picture 34">
          <a:extLst>
            <a:ext uri="{FF2B5EF4-FFF2-40B4-BE49-F238E27FC236}">
              <a16:creationId xmlns:a16="http://schemas.microsoft.com/office/drawing/2014/main" id="{00000000-0008-0000-0500-00000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7451050" y="40014525"/>
          <a:ext cx="5486400" cy="15906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19</xdr:col>
      <xdr:colOff>152400</xdr:colOff>
      <xdr:row>255</xdr:row>
      <xdr:rowOff>28575</xdr:rowOff>
    </xdr:from>
    <xdr:to>
      <xdr:col>26</xdr:col>
      <xdr:colOff>0</xdr:colOff>
      <xdr:row>280</xdr:row>
      <xdr:rowOff>142875</xdr:rowOff>
    </xdr:to>
    <xdr:pic>
      <xdr:nvPicPr>
        <xdr:cNvPr id="4" name="Picture 35">
          <a:extLst>
            <a:ext uri="{FF2B5EF4-FFF2-40B4-BE49-F238E27FC236}">
              <a16:creationId xmlns:a16="http://schemas.microsoft.com/office/drawing/2014/main" id="{00000000-0008-0000-05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7374850" y="41376600"/>
          <a:ext cx="6886575" cy="464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19</xdr:col>
      <xdr:colOff>323850</xdr:colOff>
      <xdr:row>284</xdr:row>
      <xdr:rowOff>133350</xdr:rowOff>
    </xdr:from>
    <xdr:to>
      <xdr:col>25</xdr:col>
      <xdr:colOff>752475</xdr:colOff>
      <xdr:row>312</xdr:row>
      <xdr:rowOff>28575</xdr:rowOff>
    </xdr:to>
    <xdr:pic>
      <xdr:nvPicPr>
        <xdr:cNvPr id="5" name="Picture 42">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7546300" y="46662975"/>
          <a:ext cx="6705600" cy="449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28</xdr:col>
      <xdr:colOff>0</xdr:colOff>
      <xdr:row>59</xdr:row>
      <xdr:rowOff>0</xdr:rowOff>
    </xdr:from>
    <xdr:to>
      <xdr:col>34</xdr:col>
      <xdr:colOff>9525</xdr:colOff>
      <xdr:row>65</xdr:row>
      <xdr:rowOff>38099</xdr:rowOff>
    </xdr:to>
    <xdr:pic>
      <xdr:nvPicPr>
        <xdr:cNvPr id="44" name="Imagen 4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840700" y="10629900"/>
          <a:ext cx="5619750" cy="1019175"/>
        </a:xfrm>
        <a:prstGeom prst="rect">
          <a:avLst/>
        </a:prstGeom>
        <a:noFill/>
        <a:effectLst>
          <a:softEdge rad="0"/>
        </a:effectLst>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10</xdr:col>
      <xdr:colOff>9525</xdr:colOff>
      <xdr:row>16</xdr:row>
      <xdr:rowOff>171450</xdr:rowOff>
    </xdr:from>
    <xdr:to>
      <xdr:col>11</xdr:col>
      <xdr:colOff>714375</xdr:colOff>
      <xdr:row>17</xdr:row>
      <xdr:rowOff>9525</xdr:rowOff>
    </xdr:to>
    <xdr:cxnSp macro="">
      <xdr:nvCxnSpPr>
        <xdr:cNvPr id="3" name="Conector recto de flecha 2">
          <a:extLst>
            <a:ext uri="{FF2B5EF4-FFF2-40B4-BE49-F238E27FC236}">
              <a16:creationId xmlns:a16="http://schemas.microsoft.com/office/drawing/2014/main" id="{00000000-0008-0000-1200-000003000000}"/>
            </a:ext>
          </a:extLst>
        </xdr:cNvPr>
        <xdr:cNvCxnSpPr/>
      </xdr:nvCxnSpPr>
      <xdr:spPr>
        <a:xfrm flipV="1">
          <a:off x="5400675" y="3105150"/>
          <a:ext cx="2419350" cy="2857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100</xdr:row>
      <xdr:rowOff>0</xdr:rowOff>
    </xdr:from>
    <xdr:to>
      <xdr:col>10</xdr:col>
      <xdr:colOff>65790</xdr:colOff>
      <xdr:row>154</xdr:row>
      <xdr:rowOff>8431</xdr:rowOff>
    </xdr:to>
    <xdr:pic>
      <xdr:nvPicPr>
        <xdr:cNvPr id="4" name="Imagen 3"/>
        <xdr:cNvPicPr>
          <a:picLocks noChangeAspect="1"/>
        </xdr:cNvPicPr>
      </xdr:nvPicPr>
      <xdr:blipFill>
        <a:blip xmlns:r="http://schemas.openxmlformats.org/officeDocument/2006/relationships" r:embed="rId1"/>
        <a:stretch>
          <a:fillRect/>
        </a:stretch>
      </xdr:blipFill>
      <xdr:spPr>
        <a:xfrm>
          <a:off x="762000" y="16344900"/>
          <a:ext cx="7076190" cy="8752381"/>
        </a:xfrm>
        <a:prstGeom prst="rect">
          <a:avLst/>
        </a:prstGeom>
      </xdr:spPr>
    </xdr:pic>
    <xdr:clientData/>
  </xdr:twoCellAnchor>
  <xdr:twoCellAnchor editAs="oneCell">
    <xdr:from>
      <xdr:col>12</xdr:col>
      <xdr:colOff>847725</xdr:colOff>
      <xdr:row>99</xdr:row>
      <xdr:rowOff>57150</xdr:rowOff>
    </xdr:from>
    <xdr:to>
      <xdr:col>19</xdr:col>
      <xdr:colOff>284905</xdr:colOff>
      <xdr:row>152</xdr:row>
      <xdr:rowOff>75125</xdr:rowOff>
    </xdr:to>
    <xdr:pic>
      <xdr:nvPicPr>
        <xdr:cNvPr id="5" name="Imagen 4"/>
        <xdr:cNvPicPr>
          <a:picLocks noChangeAspect="1"/>
        </xdr:cNvPicPr>
      </xdr:nvPicPr>
      <xdr:blipFill>
        <a:blip xmlns:r="http://schemas.openxmlformats.org/officeDocument/2006/relationships" r:embed="rId2"/>
        <a:stretch>
          <a:fillRect/>
        </a:stretch>
      </xdr:blipFill>
      <xdr:spPr>
        <a:xfrm>
          <a:off x="10144125" y="16411575"/>
          <a:ext cx="6761905" cy="8600000"/>
        </a:xfrm>
        <a:prstGeom prst="rect">
          <a:avLst/>
        </a:prstGeom>
      </xdr:spPr>
    </xdr:pic>
    <xdr:clientData/>
  </xdr:twoCellAnchor>
  <xdr:twoCellAnchor editAs="oneCell">
    <xdr:from>
      <xdr:col>1</xdr:col>
      <xdr:colOff>0</xdr:colOff>
      <xdr:row>43</xdr:row>
      <xdr:rowOff>0</xdr:rowOff>
    </xdr:from>
    <xdr:to>
      <xdr:col>9</xdr:col>
      <xdr:colOff>1332655</xdr:colOff>
      <xdr:row>93</xdr:row>
      <xdr:rowOff>122798</xdr:rowOff>
    </xdr:to>
    <xdr:pic>
      <xdr:nvPicPr>
        <xdr:cNvPr id="6" name="Imagen 5"/>
        <xdr:cNvPicPr>
          <a:picLocks noChangeAspect="1"/>
        </xdr:cNvPicPr>
      </xdr:nvPicPr>
      <xdr:blipFill>
        <a:blip xmlns:r="http://schemas.openxmlformats.org/officeDocument/2006/relationships" r:embed="rId3"/>
        <a:stretch>
          <a:fillRect/>
        </a:stretch>
      </xdr:blipFill>
      <xdr:spPr>
        <a:xfrm>
          <a:off x="762000" y="7115175"/>
          <a:ext cx="6761905" cy="8219048"/>
        </a:xfrm>
        <a:prstGeom prst="rect">
          <a:avLst/>
        </a:prstGeom>
      </xdr:spPr>
    </xdr:pic>
    <xdr:clientData/>
  </xdr:twoCellAnchor>
  <xdr:twoCellAnchor editAs="oneCell">
    <xdr:from>
      <xdr:col>12</xdr:col>
      <xdr:colOff>0</xdr:colOff>
      <xdr:row>45</xdr:row>
      <xdr:rowOff>104775</xdr:rowOff>
    </xdr:from>
    <xdr:to>
      <xdr:col>17</xdr:col>
      <xdr:colOff>713561</xdr:colOff>
      <xdr:row>93</xdr:row>
      <xdr:rowOff>18089</xdr:rowOff>
    </xdr:to>
    <xdr:pic>
      <xdr:nvPicPr>
        <xdr:cNvPr id="7" name="Imagen 6"/>
        <xdr:cNvPicPr>
          <a:picLocks noChangeAspect="1"/>
        </xdr:cNvPicPr>
      </xdr:nvPicPr>
      <xdr:blipFill>
        <a:blip xmlns:r="http://schemas.openxmlformats.org/officeDocument/2006/relationships" r:embed="rId4"/>
        <a:stretch>
          <a:fillRect/>
        </a:stretch>
      </xdr:blipFill>
      <xdr:spPr>
        <a:xfrm>
          <a:off x="9296400" y="7715250"/>
          <a:ext cx="6514286" cy="7685714"/>
        </a:xfrm>
        <a:prstGeom prst="rect">
          <a:avLst/>
        </a:prstGeom>
      </xdr:spPr>
    </xdr:pic>
    <xdr:clientData/>
  </xdr:twoCellAnchor>
  <xdr:twoCellAnchor editAs="oneCell">
    <xdr:from>
      <xdr:col>1</xdr:col>
      <xdr:colOff>0</xdr:colOff>
      <xdr:row>161</xdr:row>
      <xdr:rowOff>0</xdr:rowOff>
    </xdr:from>
    <xdr:to>
      <xdr:col>9</xdr:col>
      <xdr:colOff>685036</xdr:colOff>
      <xdr:row>211</xdr:row>
      <xdr:rowOff>8512</xdr:rowOff>
    </xdr:to>
    <xdr:pic>
      <xdr:nvPicPr>
        <xdr:cNvPr id="8" name="Imagen 7"/>
        <xdr:cNvPicPr>
          <a:picLocks noChangeAspect="1"/>
        </xdr:cNvPicPr>
      </xdr:nvPicPr>
      <xdr:blipFill>
        <a:blip xmlns:r="http://schemas.openxmlformats.org/officeDocument/2006/relationships" r:embed="rId5"/>
        <a:stretch>
          <a:fillRect/>
        </a:stretch>
      </xdr:blipFill>
      <xdr:spPr>
        <a:xfrm>
          <a:off x="762000" y="27089100"/>
          <a:ext cx="6114286" cy="8104762"/>
        </a:xfrm>
        <a:prstGeom prst="rect">
          <a:avLst/>
        </a:prstGeom>
      </xdr:spPr>
    </xdr:pic>
    <xdr:clientData/>
  </xdr:twoCellAnchor>
  <xdr:twoCellAnchor editAs="oneCell">
    <xdr:from>
      <xdr:col>1</xdr:col>
      <xdr:colOff>0</xdr:colOff>
      <xdr:row>214</xdr:row>
      <xdr:rowOff>0</xdr:rowOff>
    </xdr:from>
    <xdr:to>
      <xdr:col>9</xdr:col>
      <xdr:colOff>856464</xdr:colOff>
      <xdr:row>266</xdr:row>
      <xdr:rowOff>46567</xdr:rowOff>
    </xdr:to>
    <xdr:pic>
      <xdr:nvPicPr>
        <xdr:cNvPr id="9" name="Imagen 8"/>
        <xdr:cNvPicPr>
          <a:picLocks noChangeAspect="1"/>
        </xdr:cNvPicPr>
      </xdr:nvPicPr>
      <xdr:blipFill>
        <a:blip xmlns:r="http://schemas.openxmlformats.org/officeDocument/2006/relationships" r:embed="rId6"/>
        <a:stretch>
          <a:fillRect/>
        </a:stretch>
      </xdr:blipFill>
      <xdr:spPr>
        <a:xfrm>
          <a:off x="762000" y="35671125"/>
          <a:ext cx="6285714" cy="8466667"/>
        </a:xfrm>
        <a:prstGeom prst="rect">
          <a:avLst/>
        </a:prstGeom>
      </xdr:spPr>
    </xdr:pic>
    <xdr:clientData/>
  </xdr:twoCellAnchor>
  <xdr:twoCellAnchor editAs="oneCell">
    <xdr:from>
      <xdr:col>1</xdr:col>
      <xdr:colOff>0</xdr:colOff>
      <xdr:row>270</xdr:row>
      <xdr:rowOff>0</xdr:rowOff>
    </xdr:from>
    <xdr:to>
      <xdr:col>9</xdr:col>
      <xdr:colOff>780274</xdr:colOff>
      <xdr:row>319</xdr:row>
      <xdr:rowOff>132342</xdr:rowOff>
    </xdr:to>
    <xdr:pic>
      <xdr:nvPicPr>
        <xdr:cNvPr id="10" name="Imagen 9"/>
        <xdr:cNvPicPr>
          <a:picLocks noChangeAspect="1"/>
        </xdr:cNvPicPr>
      </xdr:nvPicPr>
      <xdr:blipFill>
        <a:blip xmlns:r="http://schemas.openxmlformats.org/officeDocument/2006/relationships" r:embed="rId7"/>
        <a:stretch>
          <a:fillRect/>
        </a:stretch>
      </xdr:blipFill>
      <xdr:spPr>
        <a:xfrm>
          <a:off x="762000" y="44738925"/>
          <a:ext cx="6209524" cy="8066667"/>
        </a:xfrm>
        <a:prstGeom prst="rect">
          <a:avLst/>
        </a:prstGeom>
      </xdr:spPr>
    </xdr:pic>
    <xdr:clientData/>
  </xdr:twoCellAnchor>
  <xdr:twoCellAnchor editAs="oneCell">
    <xdr:from>
      <xdr:col>1</xdr:col>
      <xdr:colOff>0</xdr:colOff>
      <xdr:row>323</xdr:row>
      <xdr:rowOff>0</xdr:rowOff>
    </xdr:from>
    <xdr:to>
      <xdr:col>9</xdr:col>
      <xdr:colOff>704083</xdr:colOff>
      <xdr:row>371</xdr:row>
      <xdr:rowOff>8552</xdr:rowOff>
    </xdr:to>
    <xdr:pic>
      <xdr:nvPicPr>
        <xdr:cNvPr id="11" name="Imagen 10"/>
        <xdr:cNvPicPr>
          <a:picLocks noChangeAspect="1"/>
        </xdr:cNvPicPr>
      </xdr:nvPicPr>
      <xdr:blipFill>
        <a:blip xmlns:r="http://schemas.openxmlformats.org/officeDocument/2006/relationships" r:embed="rId8"/>
        <a:stretch>
          <a:fillRect/>
        </a:stretch>
      </xdr:blipFill>
      <xdr:spPr>
        <a:xfrm>
          <a:off x="762000" y="53320950"/>
          <a:ext cx="6133333" cy="7780952"/>
        </a:xfrm>
        <a:prstGeom prst="rect">
          <a:avLst/>
        </a:prstGeom>
      </xdr:spPr>
    </xdr:pic>
    <xdr:clientData/>
  </xdr:twoCellAnchor>
  <xdr:twoCellAnchor editAs="oneCell">
    <xdr:from>
      <xdr:col>11</xdr:col>
      <xdr:colOff>0</xdr:colOff>
      <xdr:row>161</xdr:row>
      <xdr:rowOff>0</xdr:rowOff>
    </xdr:from>
    <xdr:to>
      <xdr:col>16</xdr:col>
      <xdr:colOff>323084</xdr:colOff>
      <xdr:row>211</xdr:row>
      <xdr:rowOff>113274</xdr:rowOff>
    </xdr:to>
    <xdr:pic>
      <xdr:nvPicPr>
        <xdr:cNvPr id="12" name="Imagen 11"/>
        <xdr:cNvPicPr>
          <a:picLocks noChangeAspect="1"/>
        </xdr:cNvPicPr>
      </xdr:nvPicPr>
      <xdr:blipFill>
        <a:blip xmlns:r="http://schemas.openxmlformats.org/officeDocument/2006/relationships" r:embed="rId9"/>
        <a:stretch>
          <a:fillRect/>
        </a:stretch>
      </xdr:blipFill>
      <xdr:spPr>
        <a:xfrm>
          <a:off x="8534400" y="27089100"/>
          <a:ext cx="6123809" cy="8209524"/>
        </a:xfrm>
        <a:prstGeom prst="rect">
          <a:avLst/>
        </a:prstGeom>
      </xdr:spPr>
    </xdr:pic>
    <xdr:clientData/>
  </xdr:twoCellAnchor>
  <xdr:twoCellAnchor editAs="oneCell">
    <xdr:from>
      <xdr:col>11</xdr:col>
      <xdr:colOff>0</xdr:colOff>
      <xdr:row>215</xdr:row>
      <xdr:rowOff>0</xdr:rowOff>
    </xdr:from>
    <xdr:to>
      <xdr:col>16</xdr:col>
      <xdr:colOff>256418</xdr:colOff>
      <xdr:row>265</xdr:row>
      <xdr:rowOff>94226</xdr:rowOff>
    </xdr:to>
    <xdr:pic>
      <xdr:nvPicPr>
        <xdr:cNvPr id="13" name="Imagen 12"/>
        <xdr:cNvPicPr>
          <a:picLocks noChangeAspect="1"/>
        </xdr:cNvPicPr>
      </xdr:nvPicPr>
      <xdr:blipFill>
        <a:blip xmlns:r="http://schemas.openxmlformats.org/officeDocument/2006/relationships" r:embed="rId10"/>
        <a:stretch>
          <a:fillRect/>
        </a:stretch>
      </xdr:blipFill>
      <xdr:spPr>
        <a:xfrm>
          <a:off x="8534400" y="35833050"/>
          <a:ext cx="6057143" cy="8190476"/>
        </a:xfrm>
        <a:prstGeom prst="rect">
          <a:avLst/>
        </a:prstGeom>
      </xdr:spPr>
    </xdr:pic>
    <xdr:clientData/>
  </xdr:twoCellAnchor>
  <xdr:twoCellAnchor editAs="oneCell">
    <xdr:from>
      <xdr:col>11</xdr:col>
      <xdr:colOff>0</xdr:colOff>
      <xdr:row>272</xdr:row>
      <xdr:rowOff>0</xdr:rowOff>
    </xdr:from>
    <xdr:to>
      <xdr:col>16</xdr:col>
      <xdr:colOff>284989</xdr:colOff>
      <xdr:row>322</xdr:row>
      <xdr:rowOff>113274</xdr:rowOff>
    </xdr:to>
    <xdr:pic>
      <xdr:nvPicPr>
        <xdr:cNvPr id="14" name="Imagen 13"/>
        <xdr:cNvPicPr>
          <a:picLocks noChangeAspect="1"/>
        </xdr:cNvPicPr>
      </xdr:nvPicPr>
      <xdr:blipFill>
        <a:blip xmlns:r="http://schemas.openxmlformats.org/officeDocument/2006/relationships" r:embed="rId11"/>
        <a:stretch>
          <a:fillRect/>
        </a:stretch>
      </xdr:blipFill>
      <xdr:spPr>
        <a:xfrm>
          <a:off x="8534400" y="45062775"/>
          <a:ext cx="6085714" cy="8209524"/>
        </a:xfrm>
        <a:prstGeom prst="rect">
          <a:avLst/>
        </a:prstGeom>
      </xdr:spPr>
    </xdr:pic>
    <xdr:clientData/>
  </xdr:twoCellAnchor>
  <xdr:twoCellAnchor editAs="oneCell">
    <xdr:from>
      <xdr:col>11</xdr:col>
      <xdr:colOff>0</xdr:colOff>
      <xdr:row>326</xdr:row>
      <xdr:rowOff>0</xdr:rowOff>
    </xdr:from>
    <xdr:to>
      <xdr:col>16</xdr:col>
      <xdr:colOff>56418</xdr:colOff>
      <xdr:row>375</xdr:row>
      <xdr:rowOff>84723</xdr:rowOff>
    </xdr:to>
    <xdr:pic>
      <xdr:nvPicPr>
        <xdr:cNvPr id="15" name="Imagen 14"/>
        <xdr:cNvPicPr>
          <a:picLocks noChangeAspect="1"/>
        </xdr:cNvPicPr>
      </xdr:nvPicPr>
      <xdr:blipFill>
        <a:blip xmlns:r="http://schemas.openxmlformats.org/officeDocument/2006/relationships" r:embed="rId12"/>
        <a:stretch>
          <a:fillRect/>
        </a:stretch>
      </xdr:blipFill>
      <xdr:spPr>
        <a:xfrm>
          <a:off x="8534400" y="53806725"/>
          <a:ext cx="5857143" cy="801904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27286995026/Downloads/Incremento%20TBK_2018_Mesa%206_.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27286995026/Downloads/Mesa%20Tarifaria/TARIFA%20TEORICA/Mesa%20Tarifaria/4ta%20Mesa%20Tarifaria%20(Ene%202019)/Enviado%20FETAP/Octubre%202017%20ersep.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27286995026/Downloads/Incremento%20TBK%20ESTIMADOS%202021.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27286995026/Downloads/Mesa%20Tarifaria/TARIFA%20TEORICA/Mesa%20Tarifaria/4ta%20Mesa%20Tarifaria%20(Ene%202019)/Control%20Facturas%20Modelo%202017.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oja de Calculo_prueba (2)"/>
      <sheetName val="Resumen de Calculo"/>
      <sheetName val="Resumen de Calculo 2017"/>
      <sheetName val="Calculo FETAP ASETAC"/>
      <sheetName val=" ERSEP PERSONAL 100%"/>
      <sheetName val="Hoja Llave"/>
      <sheetName val="Cantidades Fisicas"/>
      <sheetName val="FETAP_ASETAC +18%"/>
      <sheetName val="Facturasold"/>
      <sheetName val="Comentarios"/>
      <sheetName val="Hoja2"/>
      <sheetName val="2017"/>
    </sheetNames>
    <sheetDataSet>
      <sheetData sheetId="0" refreshError="1"/>
      <sheetData sheetId="1" refreshError="1">
        <row r="51">
          <cell r="I51">
            <v>0.40692859205204757</v>
          </cell>
        </row>
      </sheetData>
      <sheetData sheetId="2" refreshError="1"/>
      <sheetData sheetId="3" refreshError="1">
        <row r="43">
          <cell r="J43">
            <v>3</v>
          </cell>
        </row>
        <row r="66">
          <cell r="J66">
            <v>0.42068001659233528</v>
          </cell>
        </row>
        <row r="68">
          <cell r="J68">
            <v>10</v>
          </cell>
        </row>
        <row r="73">
          <cell r="J73">
            <v>1.6</v>
          </cell>
        </row>
        <row r="241">
          <cell r="J241">
            <v>3.25</v>
          </cell>
        </row>
        <row r="256">
          <cell r="J256">
            <v>3.3E-3</v>
          </cell>
        </row>
        <row r="258">
          <cell r="J258">
            <v>4.1999999999999997E-3</v>
          </cell>
        </row>
        <row r="260">
          <cell r="J260">
            <v>0.42068001659233528</v>
          </cell>
        </row>
        <row r="262">
          <cell r="J262">
            <v>0.57931998340766477</v>
          </cell>
        </row>
        <row r="264">
          <cell r="J264">
            <v>127.16</v>
          </cell>
        </row>
        <row r="278">
          <cell r="J278">
            <v>0.42068001659233528</v>
          </cell>
        </row>
        <row r="280">
          <cell r="J280">
            <v>1.1E-4</v>
          </cell>
        </row>
        <row r="282">
          <cell r="J282">
            <v>26009.54</v>
          </cell>
        </row>
        <row r="285">
          <cell r="J285">
            <v>31137.18</v>
          </cell>
        </row>
        <row r="293">
          <cell r="J293">
            <v>0.57931998340766477</v>
          </cell>
        </row>
        <row r="295">
          <cell r="J295">
            <v>1.1E-4</v>
          </cell>
        </row>
        <row r="297">
          <cell r="J297">
            <v>1.9000000000000001E-4</v>
          </cell>
        </row>
        <row r="299">
          <cell r="J299">
            <v>31137.18</v>
          </cell>
        </row>
        <row r="335">
          <cell r="J335">
            <v>0.08</v>
          </cell>
        </row>
        <row r="337">
          <cell r="J337">
            <v>0.42068001659233528</v>
          </cell>
        </row>
        <row r="339">
          <cell r="J339">
            <v>99900</v>
          </cell>
        </row>
        <row r="347">
          <cell r="J347">
            <v>4171198.29</v>
          </cell>
        </row>
        <row r="349">
          <cell r="J349">
            <v>6043148.1386000002</v>
          </cell>
        </row>
        <row r="357">
          <cell r="J357">
            <v>0.08</v>
          </cell>
        </row>
        <row r="359">
          <cell r="J359">
            <v>0.57931998340766477</v>
          </cell>
        </row>
        <row r="361">
          <cell r="J361">
            <v>149364</v>
          </cell>
        </row>
        <row r="386">
          <cell r="J386">
            <v>0.1</v>
          </cell>
        </row>
        <row r="388">
          <cell r="J388">
            <v>0.42068001659233528</v>
          </cell>
        </row>
        <row r="390">
          <cell r="J390">
            <v>99900</v>
          </cell>
        </row>
        <row r="392">
          <cell r="J392">
            <v>8</v>
          </cell>
        </row>
        <row r="394">
          <cell r="J394">
            <v>0.08</v>
          </cell>
        </row>
        <row r="402">
          <cell r="J402">
            <v>0.1</v>
          </cell>
        </row>
        <row r="404">
          <cell r="J404">
            <v>0.57931998340766477</v>
          </cell>
        </row>
        <row r="406">
          <cell r="J406">
            <v>149364</v>
          </cell>
        </row>
        <row r="408">
          <cell r="J408">
            <v>8</v>
          </cell>
        </row>
        <row r="410">
          <cell r="J410">
            <v>0.08</v>
          </cell>
        </row>
        <row r="412">
          <cell r="J412">
            <v>6264643.3047899995</v>
          </cell>
        </row>
        <row r="442">
          <cell r="J442">
            <v>0.42068001659233528</v>
          </cell>
        </row>
        <row r="476">
          <cell r="J476">
            <v>0.42068001659233528</v>
          </cell>
        </row>
        <row r="495">
          <cell r="J495">
            <v>0.57931998340766477</v>
          </cell>
        </row>
        <row r="552">
          <cell r="J552">
            <v>160</v>
          </cell>
        </row>
        <row r="554">
          <cell r="J554">
            <v>99900</v>
          </cell>
        </row>
        <row r="556">
          <cell r="J556">
            <v>0.42068001659233528</v>
          </cell>
        </row>
        <row r="561">
          <cell r="J561">
            <v>160</v>
          </cell>
        </row>
        <row r="563">
          <cell r="J563">
            <v>149364</v>
          </cell>
        </row>
        <row r="565">
          <cell r="J565">
            <v>0.57931998340766477</v>
          </cell>
        </row>
      </sheetData>
      <sheetData sheetId="4" refreshError="1"/>
      <sheetData sheetId="5" refreshError="1">
        <row r="9">
          <cell r="O9">
            <v>3.5</v>
          </cell>
        </row>
        <row r="10">
          <cell r="O10">
            <v>3.5</v>
          </cell>
        </row>
        <row r="11">
          <cell r="O11">
            <v>3.25</v>
          </cell>
        </row>
        <row r="12">
          <cell r="O12">
            <v>3.3E-3</v>
          </cell>
        </row>
        <row r="17">
          <cell r="O17">
            <v>1.1E-4</v>
          </cell>
        </row>
        <row r="18">
          <cell r="O18">
            <v>1.9000000000000001E-4</v>
          </cell>
        </row>
        <row r="20">
          <cell r="O20">
            <v>0.08</v>
          </cell>
        </row>
        <row r="21">
          <cell r="O21">
            <v>0.1</v>
          </cell>
        </row>
        <row r="24">
          <cell r="O24">
            <v>10</v>
          </cell>
        </row>
        <row r="26">
          <cell r="O26">
            <v>0</v>
          </cell>
        </row>
        <row r="32">
          <cell r="O32">
            <v>45412.299999999996</v>
          </cell>
        </row>
        <row r="37">
          <cell r="O37">
            <v>10</v>
          </cell>
        </row>
        <row r="38">
          <cell r="O38">
            <v>1.6</v>
          </cell>
        </row>
        <row r="48">
          <cell r="O48">
            <v>37021.32</v>
          </cell>
        </row>
        <row r="51">
          <cell r="O51">
            <v>4.1999999999999997E-3</v>
          </cell>
        </row>
        <row r="55">
          <cell r="O55">
            <v>8</v>
          </cell>
        </row>
        <row r="58">
          <cell r="O58">
            <v>5</v>
          </cell>
        </row>
      </sheetData>
      <sheetData sheetId="6" refreshError="1"/>
      <sheetData sheetId="7" refreshError="1"/>
      <sheetData sheetId="8" refreshError="1">
        <row r="2">
          <cell r="AH2">
            <v>1648461.425</v>
          </cell>
        </row>
        <row r="3">
          <cell r="AH3">
            <v>2525740.7250000001</v>
          </cell>
        </row>
        <row r="4">
          <cell r="AH4">
            <v>4242126.7</v>
          </cell>
        </row>
      </sheetData>
      <sheetData sheetId="9" refreshError="1"/>
      <sheetData sheetId="10" refreshError="1"/>
      <sheetData sheetId="1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sumen de Calculo"/>
      <sheetName val="Hoja de Calculo"/>
      <sheetName val="Hoja Llave"/>
      <sheetName val="DATOS"/>
    </sheetNames>
    <sheetDataSet>
      <sheetData sheetId="0" refreshError="1"/>
      <sheetData sheetId="1" refreshError="1"/>
      <sheetData sheetId="2" refreshError="1">
        <row r="10">
          <cell r="A10" t="str">
            <v>CODIGO</v>
          </cell>
          <cell r="B10" t="str">
            <v>DESCRIPCION</v>
          </cell>
          <cell r="J10" t="str">
            <v>OCTUBRE 2017</v>
          </cell>
          <cell r="K10" t="str">
            <v>Calculado</v>
          </cell>
        </row>
        <row r="11">
          <cell r="A11" t="str">
            <v>Hn</v>
          </cell>
          <cell r="B11" t="str">
            <v>Cantidad de horas netas abonadas por mes a los conductores</v>
          </cell>
          <cell r="J11">
            <v>192</v>
          </cell>
        </row>
        <row r="12">
          <cell r="A12" t="str">
            <v>IL</v>
          </cell>
          <cell r="B12" t="str">
            <v>Coeficiente de incidencia de hs. pagas no trabajadas ( Vacaciones= 23 / Enfermedad= 14 / Feriados 2016= 17)</v>
          </cell>
          <cell r="J12">
            <v>1.2307692307692308</v>
          </cell>
        </row>
        <row r="13">
          <cell r="A13" t="str">
            <v>MT</v>
          </cell>
          <cell r="B13" t="str">
            <v>Monto anual de la prima para personal de conducción</v>
          </cell>
          <cell r="J13">
            <v>17406.658416951035</v>
          </cell>
        </row>
        <row r="14">
          <cell r="A14" t="str">
            <v>U</v>
          </cell>
          <cell r="B14" t="str">
            <v>Costo de los uniformes según convenio. Por temporada: 1 campera + 2 camisa + 1 pantalón + 2 corbata</v>
          </cell>
          <cell r="J14">
            <v>2684.52</v>
          </cell>
          <cell r="K14" t="str">
            <v>=(484,57+(2*244,5)+244,89+(2*61,9))*2</v>
          </cell>
        </row>
        <row r="15">
          <cell r="A15" t="str">
            <v>CPMp</v>
          </cell>
          <cell r="B15" t="str">
            <v>Según la composición porcentual media del personal en relación de dependencia el 70% corresponde al personal de conducción y el restante 30% a mecánicos y administrativos; por ende se adopta el 43% sobre la remuneración del personal de conducción</v>
          </cell>
          <cell r="J15">
            <v>0.43</v>
          </cell>
        </row>
        <row r="17">
          <cell r="A17" t="str">
            <v>ccvc</v>
          </cell>
          <cell r="B17" t="str">
            <v>Comsumo de combustibe de Vch x litro</v>
          </cell>
          <cell r="J17">
            <v>3.5</v>
          </cell>
        </row>
        <row r="18">
          <cell r="A18" t="str">
            <v>ccvm</v>
          </cell>
          <cell r="B18" t="str">
            <v>Comsumo de combustibe de Vm x litro</v>
          </cell>
          <cell r="J18">
            <v>3.5</v>
          </cell>
        </row>
        <row r="19">
          <cell r="A19" t="str">
            <v>ccvg</v>
          </cell>
          <cell r="B19" t="str">
            <v>Comsumo de combustibe de Vg x litro</v>
          </cell>
          <cell r="J19">
            <v>3.25</v>
          </cell>
        </row>
        <row r="20">
          <cell r="A20" t="str">
            <v>Clvc</v>
          </cell>
          <cell r="B20" t="str">
            <v>Consumo de lubricantes para vehículos chicos cada 10000km</v>
          </cell>
          <cell r="J20">
            <v>3.3E-3</v>
          </cell>
        </row>
        <row r="21">
          <cell r="A21" t="str">
            <v>Nc</v>
          </cell>
          <cell r="B21" t="str">
            <v>Un. de valuación (medidas 900 r22,5) + 0,6 (1 cub. recap. )</v>
          </cell>
          <cell r="J21">
            <v>8476.5600200000008</v>
          </cell>
        </row>
        <row r="22">
          <cell r="A22" t="str">
            <v>Nm</v>
          </cell>
          <cell r="B22" t="str">
            <v>Un. de valuación (medidas 275/80 r22,5) + 0,6 (1 cub. recap. )</v>
          </cell>
          <cell r="J22">
            <v>8476.5600200000008</v>
          </cell>
          <cell r="K22" t="str">
            <v>=6728,3+(0,6*2913,7667)</v>
          </cell>
        </row>
        <row r="23">
          <cell r="A23" t="str">
            <v>Ng</v>
          </cell>
          <cell r="B23" t="str">
            <v>Un. de valuación (medidas 295/80 r22,5) + 0,6 (1 cub. recap. )</v>
          </cell>
          <cell r="J23">
            <v>8649.2400199999993</v>
          </cell>
          <cell r="K23" t="str">
            <v>=6900,98+(0,6*2913,7667)</v>
          </cell>
        </row>
        <row r="24">
          <cell r="A24" t="str">
            <v>L</v>
          </cell>
          <cell r="B24" t="str">
            <v>Precio de aceite para motor: como unidad de evaluación se toma el tambor de 205 litros</v>
          </cell>
          <cell r="J24">
            <v>36.974499999999999</v>
          </cell>
        </row>
        <row r="25">
          <cell r="A25" t="str">
            <v>Cnc</v>
          </cell>
          <cell r="B25" t="str">
            <v>Consumo de neumático por kilómetro (6 neumáticos nuevos + 3,6 recapados) sobre 84000 km</v>
          </cell>
          <cell r="J25">
            <v>1.1E-4</v>
          </cell>
        </row>
        <row r="26">
          <cell r="A26" t="str">
            <v>Cvr</v>
          </cell>
          <cell r="B26" t="str">
            <v>Coeficiente luego de deducir valor residual (20%)</v>
          </cell>
          <cell r="J26">
            <v>0.8</v>
          </cell>
        </row>
        <row r="27">
          <cell r="A27" t="str">
            <v>Ta</v>
          </cell>
          <cell r="B27" t="str">
            <v>Tasa anual de amortización</v>
          </cell>
          <cell r="J27">
            <v>0.08</v>
          </cell>
        </row>
        <row r="28">
          <cell r="A28" t="str">
            <v>Ti</v>
          </cell>
          <cell r="B28" t="str">
            <v>Tasa anual sobre el capital invertido</v>
          </cell>
          <cell r="J28">
            <v>0.1</v>
          </cell>
        </row>
        <row r="29">
          <cell r="A29" t="str">
            <v>Mp</v>
          </cell>
          <cell r="B29" t="str">
            <v>Monto de la prima mensual en pesos</v>
          </cell>
          <cell r="J29">
            <v>2276.93397</v>
          </cell>
        </row>
        <row r="30">
          <cell r="A30" t="str">
            <v>E</v>
          </cell>
          <cell r="B30" t="str">
            <v>Costo de lavado y engrase</v>
          </cell>
          <cell r="J30">
            <v>600</v>
          </cell>
        </row>
        <row r="31">
          <cell r="A31" t="str">
            <v>Vu</v>
          </cell>
          <cell r="B31" t="str">
            <v>Vida útil de la unidad</v>
          </cell>
          <cell r="J31">
            <v>10</v>
          </cell>
        </row>
        <row r="32">
          <cell r="A32" t="str">
            <v>Pp</v>
          </cell>
          <cell r="B32" t="str">
            <v>Monto anual de patente ponderado de acuerdo a la composición de la flota</v>
          </cell>
          <cell r="J32">
            <v>24797.697533333332</v>
          </cell>
        </row>
        <row r="33">
          <cell r="A33" t="str">
            <v>Pi</v>
          </cell>
          <cell r="B33" t="str">
            <v>Porcentaje de impuestos correspondientes a ingresos brutos (3,5%) x porcentaj. Ingresos</v>
          </cell>
          <cell r="J33">
            <v>2.3E-2</v>
          </cell>
        </row>
        <row r="34">
          <cell r="A34" t="str">
            <v>RTM</v>
          </cell>
          <cell r="B34" t="str">
            <v>Recorrido Total Mensual</v>
          </cell>
          <cell r="J34">
            <v>13584026.33</v>
          </cell>
        </row>
        <row r="35">
          <cell r="A35" t="str">
            <v>km (m)</v>
          </cell>
          <cell r="B35" t="str">
            <v>Kilometraje mensual medio recorrido por coche empresas metropolitanas</v>
          </cell>
          <cell r="J35">
            <v>9420</v>
          </cell>
          <cell r="K35" t="str">
            <v>=J35*12</v>
          </cell>
        </row>
        <row r="36">
          <cell r="A36" t="str">
            <v>Ccu</v>
          </cell>
          <cell r="B36" t="str">
            <v>Cantidad de conductores por unidad para empresa metropolitana</v>
          </cell>
          <cell r="J36">
            <v>2.5</v>
          </cell>
        </row>
        <row r="37">
          <cell r="A37" t="str">
            <v>Sbcu</v>
          </cell>
          <cell r="B37" t="str">
            <v>Sueldo básico del convenio del personal de conducción empresa metropolitanas</v>
          </cell>
          <cell r="J37">
            <v>27486</v>
          </cell>
        </row>
        <row r="38">
          <cell r="A38" t="str">
            <v>Km (m)</v>
          </cell>
          <cell r="B38" t="str">
            <v>Kilometraje medio anual recorrido por vehículo metropolitana</v>
          </cell>
          <cell r="J38">
            <v>113040</v>
          </cell>
          <cell r="K38" t="str">
            <v>=J35*12</v>
          </cell>
        </row>
        <row r="39">
          <cell r="A39" t="str">
            <v>Km (r)</v>
          </cell>
          <cell r="B39" t="str">
            <v>Kilometraje medio anual recorrido por vehículo rural</v>
          </cell>
          <cell r="J39">
            <v>138792</v>
          </cell>
          <cell r="K39" t="str">
            <v>=J51*12</v>
          </cell>
        </row>
        <row r="40">
          <cell r="A40" t="str">
            <v>Vrm</v>
          </cell>
          <cell r="B40" t="str">
            <v>Porcentaje del valor residual de un vehículo de empresa metropolitana</v>
          </cell>
          <cell r="J40">
            <v>566825.53859999997</v>
          </cell>
          <cell r="K40" t="str">
            <v>=(J61*0,2)</v>
          </cell>
        </row>
        <row r="41">
          <cell r="A41" t="str">
            <v>Vrp</v>
          </cell>
          <cell r="B41" t="str">
            <v>Porcentaje del valor residual de un vehículo de empresa rural</v>
          </cell>
          <cell r="J41">
            <v>750262.07250000013</v>
          </cell>
          <cell r="K41" t="str">
            <v>=J62*0,2</v>
          </cell>
        </row>
        <row r="42">
          <cell r="A42" t="str">
            <v>Heu</v>
          </cell>
          <cell r="B42" t="str">
            <v>Cantidad de horas extras abonadas por mes a condutores por vehículo</v>
          </cell>
          <cell r="J42">
            <v>10</v>
          </cell>
        </row>
        <row r="43">
          <cell r="A43" t="str">
            <v>IMEn</v>
          </cell>
          <cell r="B43" t="str">
            <v>Coeficiente de horas extras</v>
          </cell>
          <cell r="J43">
            <v>1.6</v>
          </cell>
        </row>
        <row r="44">
          <cell r="A44" t="str">
            <v>SHm</v>
          </cell>
          <cell r="B44" t="str">
            <v xml:space="preserve">Sueldo básico de conv. conductor guarda único  c/ 10 años de antigüedad </v>
          </cell>
          <cell r="I44" t="str">
            <v>(27486x1,1)/192</v>
          </cell>
          <cell r="J44">
            <v>157.47187500000001</v>
          </cell>
          <cell r="K44" t="str">
            <v>=(J37*1,1)/192</v>
          </cell>
        </row>
        <row r="45">
          <cell r="A45" t="str">
            <v>SHr</v>
          </cell>
          <cell r="B45" t="str">
            <v xml:space="preserve">Sueldo básico conductor guarda rural con 10 años de antigüedad </v>
          </cell>
          <cell r="I45" t="str">
            <v>(22410x1,1)/192</v>
          </cell>
          <cell r="J45">
            <v>128.39062500000003</v>
          </cell>
          <cell r="K45" t="str">
            <v>=(J53*1,1)/192</v>
          </cell>
        </row>
        <row r="46">
          <cell r="A46" t="str">
            <v>Pm</v>
          </cell>
          <cell r="B46" t="str">
            <v>Porcentaje de participación de empresas metropolitanas</v>
          </cell>
          <cell r="J46">
            <v>0.46879999999999999</v>
          </cell>
        </row>
        <row r="47">
          <cell r="A47" t="str">
            <v>Pr</v>
          </cell>
          <cell r="B47" t="str">
            <v>Porcentaje de participación de empresas rurales</v>
          </cell>
          <cell r="J47">
            <v>0.53120000000000001</v>
          </cell>
        </row>
        <row r="48">
          <cell r="A48" t="str">
            <v xml:space="preserve">Ccr </v>
          </cell>
          <cell r="B48" t="str">
            <v>Cantidad de conductores por unidad para empresa rural</v>
          </cell>
          <cell r="J48">
            <v>3</v>
          </cell>
        </row>
        <row r="49">
          <cell r="A49" t="str">
            <v>ITDm</v>
          </cell>
          <cell r="B49" t="str">
            <v>Coeficiente de incidencia de tome y deje de servicio</v>
          </cell>
          <cell r="J49">
            <v>1.0666666666666667</v>
          </cell>
          <cell r="K49" t="str">
            <v>=8/(8-0,5)</v>
          </cell>
        </row>
        <row r="50">
          <cell r="A50" t="str">
            <v>ITDr</v>
          </cell>
          <cell r="B50" t="str">
            <v>Coeficiente de incidencia de tome y deje de servicio</v>
          </cell>
          <cell r="J50">
            <v>1.1428571428571428</v>
          </cell>
          <cell r="K50" t="str">
            <v>=8/(8-1)</v>
          </cell>
        </row>
        <row r="51">
          <cell r="A51" t="str">
            <v>km (r.)</v>
          </cell>
          <cell r="B51" t="str">
            <v>Kilometraje mensual medio recorrido por empresa rural</v>
          </cell>
          <cell r="J51">
            <v>11566</v>
          </cell>
        </row>
        <row r="52">
          <cell r="A52" t="str">
            <v>Her</v>
          </cell>
          <cell r="B52" t="str">
            <v>Cantidad de horas extras abonadas por mes a los conductores por vehículos rurales</v>
          </cell>
          <cell r="J52">
            <v>20</v>
          </cell>
        </row>
        <row r="53">
          <cell r="A53" t="str">
            <v>SBcg</v>
          </cell>
          <cell r="B53" t="str">
            <v>Sueldo básico del convenio del personal de conducción empresas rurales</v>
          </cell>
          <cell r="J53">
            <v>22410</v>
          </cell>
        </row>
        <row r="54">
          <cell r="A54" t="str">
            <v>Gm</v>
          </cell>
          <cell r="B54" t="str">
            <v>Precio de Gas Oil considerado para las empresas metropolitanas (0,216313 x 13,2325) +  (0,783687 x 6,0243)</v>
          </cell>
          <cell r="J54">
            <v>7.5835273666000003</v>
          </cell>
          <cell r="K54" t="str">
            <v>=(0,216313*13,2325)+(0,783687*6,0243)</v>
          </cell>
        </row>
        <row r="55">
          <cell r="A55" t="str">
            <v>Gr</v>
          </cell>
          <cell r="B55" t="str">
            <v>Precio de Gas Oil considerado para las empresas rurales (0,216313 x 13,2325) +  (0,783687 x 6,0243)</v>
          </cell>
          <cell r="J55">
            <v>7.5835273666000003</v>
          </cell>
          <cell r="K55" t="str">
            <v>=(0,216313*13,2325)+(0,783687*6,0243)</v>
          </cell>
        </row>
        <row r="56">
          <cell r="A56" t="str">
            <v>Clvmg</v>
          </cell>
          <cell r="B56" t="str">
            <v>Consumo de lubricantes para vehículos medianos y grandes cada 1000 km.</v>
          </cell>
          <cell r="J56">
            <v>4.1999999999999997E-3</v>
          </cell>
        </row>
        <row r="57">
          <cell r="A57" t="str">
            <v>Vc</v>
          </cell>
          <cell r="B57" t="str">
            <v>Valor de una unidad nueva chica</v>
          </cell>
          <cell r="J57">
            <v>2497903.17</v>
          </cell>
        </row>
        <row r="58">
          <cell r="A58" t="str">
            <v>Vm</v>
          </cell>
          <cell r="B58" t="str">
            <v>Valor de una unidad nueva mediana</v>
          </cell>
          <cell r="J58">
            <v>3618651.58</v>
          </cell>
        </row>
        <row r="59">
          <cell r="A59" t="str">
            <v>Vg</v>
          </cell>
          <cell r="B59" t="str">
            <v>Valor de una unidad nueva grande</v>
          </cell>
          <cell r="J59">
            <v>4370579.1900000004</v>
          </cell>
        </row>
        <row r="60">
          <cell r="A60" t="str">
            <v>Am</v>
          </cell>
          <cell r="B60" t="str">
            <v>Antigüedad promedio de la flota</v>
          </cell>
          <cell r="J60">
            <v>8</v>
          </cell>
        </row>
        <row r="61">
          <cell r="A61" t="str">
            <v>Vpm</v>
          </cell>
          <cell r="B61" t="str">
            <v>Valor ponderado de un vehículo nuevo para empresas metropolitanas</v>
          </cell>
          <cell r="J61">
            <v>2834127.693</v>
          </cell>
          <cell r="K61" t="str">
            <v>=(0,7*J57)+(0,3*J58)</v>
          </cell>
        </row>
        <row r="62">
          <cell r="A62" t="str">
            <v>Vpr</v>
          </cell>
          <cell r="B62" t="str">
            <v>Valor ponderado de un vehículo nuevo para empresas rurales</v>
          </cell>
          <cell r="J62">
            <v>3751310.3625000003</v>
          </cell>
          <cell r="K62" t="str">
            <v>=(0,15*J57)+(0,45*J58)+(0,4*J59)</v>
          </cell>
        </row>
        <row r="63">
          <cell r="A63" t="str">
            <v>Ai</v>
          </cell>
          <cell r="B63" t="str">
            <v>Antigüedad ideal de la flota</v>
          </cell>
          <cell r="J63">
            <v>5</v>
          </cell>
        </row>
        <row r="64">
          <cell r="A64" t="str">
            <v>Taa</v>
          </cell>
          <cell r="B64" t="str">
            <v>Monto de la tasa por asiento anual</v>
          </cell>
          <cell r="J64">
            <v>122.61</v>
          </cell>
        </row>
        <row r="65">
          <cell r="A65" t="str">
            <v>RBM</v>
          </cell>
          <cell r="B65" t="str">
            <v>Recaudación Bruta Mensual Promedio</v>
          </cell>
          <cell r="J65">
            <v>357170664.86000001</v>
          </cell>
        </row>
        <row r="66">
          <cell r="A66" t="str">
            <v>TBK</v>
          </cell>
          <cell r="B66" t="str">
            <v xml:space="preserve">Tarifa Básica Kilométrica vigente </v>
          </cell>
          <cell r="J66">
            <v>0.95009999999999994</v>
          </cell>
        </row>
      </sheetData>
      <sheetData sheetId="3"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oja de Calculo_prueba (2)"/>
      <sheetName val="Resumen de Calculo"/>
      <sheetName val="Para Informe"/>
      <sheetName val="Resumen de Calculo 2017"/>
      <sheetName val="Calculo FETAP ASETAC"/>
      <sheetName val="Hoja Calculo ERSEP"/>
      <sheetName val="Hoja Llave"/>
      <sheetName val="Cantidades Fisicas"/>
      <sheetName val="FETAP_ASETAC +18%"/>
      <sheetName val="Facturasold"/>
      <sheetName val="Comentarios"/>
      <sheetName val="Hoja2"/>
      <sheetName val="2017"/>
      <sheetName val="2018"/>
      <sheetName val="Facturas"/>
      <sheetName val="resumen"/>
      <sheetName val="Unidades"/>
      <sheetName val="indices"/>
      <sheetName val="Reunión 05-02"/>
      <sheetName val="Hoja1"/>
    </sheetNames>
    <sheetDataSet>
      <sheetData sheetId="0"/>
      <sheetData sheetId="1">
        <row r="63">
          <cell r="H63">
            <v>533895927.24000001</v>
          </cell>
        </row>
      </sheetData>
      <sheetData sheetId="2"/>
      <sheetData sheetId="3"/>
      <sheetData sheetId="4"/>
      <sheetData sheetId="5"/>
      <sheetData sheetId="6">
        <row r="28">
          <cell r="A28" t="str">
            <v>KmsM</v>
          </cell>
          <cell r="B28" t="str">
            <v>Recorrido Mensual Metropolitanas</v>
          </cell>
        </row>
        <row r="29">
          <cell r="A29" t="str">
            <v>KmsR</v>
          </cell>
          <cell r="B29" t="str">
            <v>Recorrido Mensual Rurales</v>
          </cell>
        </row>
        <row r="30">
          <cell r="A30" t="str">
            <v>km (m)</v>
          </cell>
          <cell r="B30" t="str">
            <v>Kilometraje mensual medio recorrido por coche empresas metropolitanas</v>
          </cell>
        </row>
        <row r="46">
          <cell r="A46" t="str">
            <v>km (r.)</v>
          </cell>
          <cell r="B46" t="str">
            <v>Kilometraje mensual medio recorrido por empresa rural</v>
          </cell>
        </row>
        <row r="62">
          <cell r="A62" t="str">
            <v>Ut</v>
          </cell>
          <cell r="B62" t="str">
            <v xml:space="preserve">Flota Total Pcia de Cordoba - Cantidad de Vehiculos/unidades (UP-SP-IP) </v>
          </cell>
        </row>
        <row r="63">
          <cell r="A63" t="str">
            <v>Um</v>
          </cell>
          <cell r="B63" t="str">
            <v xml:space="preserve">Flota Metropolitanos Pcia de Cordoba - Cantidad de Vehiculos/unidades (UP) </v>
          </cell>
        </row>
        <row r="64">
          <cell r="A64" t="str">
            <v>Ur</v>
          </cell>
          <cell r="B64" t="str">
            <v xml:space="preserve">Flota Rurales Pcia de Cordoba - Cantidad de Vehiculos/unidades (SP-IP) </v>
          </cell>
        </row>
      </sheetData>
      <sheetData sheetId="7"/>
      <sheetData sheetId="8"/>
      <sheetData sheetId="9"/>
      <sheetData sheetId="10"/>
      <sheetData sheetId="11"/>
      <sheetData sheetId="12"/>
      <sheetData sheetId="13"/>
      <sheetData sheetId="14"/>
      <sheetData sheetId="15"/>
      <sheetData sheetId="16"/>
      <sheetData sheetId="17"/>
      <sheetData sheetId="18"/>
      <sheetData sheetId="19"/>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cturas"/>
    </sheetNames>
    <sheetDataSet>
      <sheetData sheetId="0">
        <row r="72">
          <cell r="AO72" t="str">
            <v>52/018904</v>
          </cell>
          <cell r="AP72">
            <v>4515.46</v>
          </cell>
        </row>
      </sheetData>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vmlDrawing" Target="../drawings/vmlDrawing6.v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2" Type="http://schemas.openxmlformats.org/officeDocument/2006/relationships/vmlDrawing" Target="../drawings/vmlDrawing7.vml"/><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vmlDrawing" Target="../drawings/vmlDrawing5.v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601"/>
  <sheetViews>
    <sheetView showGridLines="0" zoomScale="70" zoomScaleNormal="70" workbookViewId="0"/>
  </sheetViews>
  <sheetFormatPr baseColWidth="10" defaultRowHeight="13.2" x14ac:dyDescent="0.25"/>
  <cols>
    <col min="1" max="1" width="27.5546875" style="34" customWidth="1"/>
    <col min="2" max="2" width="13.44140625" style="2" customWidth="1"/>
    <col min="3" max="3" width="18.109375" customWidth="1"/>
    <col min="4" max="4" width="17.44140625" customWidth="1"/>
    <col min="5" max="5" width="13" customWidth="1"/>
    <col min="6" max="6" width="12.88671875" customWidth="1"/>
    <col min="7" max="7" width="12.109375" style="1" customWidth="1"/>
    <col min="8" max="8" width="10.33203125" customWidth="1"/>
    <col min="9" max="9" width="26.33203125" customWidth="1"/>
    <col min="11" max="11" width="18.109375" style="10" bestFit="1" customWidth="1"/>
    <col min="12" max="12" width="16.88671875" customWidth="1"/>
    <col min="13" max="13" width="9.6640625" bestFit="1" customWidth="1"/>
    <col min="14" max="14" width="12.88671875" style="10" bestFit="1" customWidth="1"/>
    <col min="15" max="15" width="27.6640625" bestFit="1" customWidth="1"/>
    <col min="16" max="16" width="12.88671875" bestFit="1" customWidth="1"/>
    <col min="17" max="17" width="17.6640625" customWidth="1"/>
    <col min="18" max="18" width="11.5546875" bestFit="1" customWidth="1"/>
  </cols>
  <sheetData>
    <row r="1" spans="1:16" s="2" customFormat="1" x14ac:dyDescent="0.25">
      <c r="A1" s="59"/>
      <c r="B1" s="5" t="s">
        <v>0</v>
      </c>
      <c r="C1" s="6" t="s">
        <v>1</v>
      </c>
      <c r="D1" s="6"/>
      <c r="E1" s="6"/>
      <c r="F1" s="6"/>
      <c r="G1" s="7"/>
      <c r="H1" s="6"/>
      <c r="I1" s="6"/>
      <c r="J1" s="6"/>
      <c r="K1" s="18"/>
      <c r="L1" s="6"/>
      <c r="M1" s="6"/>
      <c r="N1" s="11"/>
    </row>
    <row r="3" spans="1:16" s="2" customFormat="1" ht="52.8" x14ac:dyDescent="0.25">
      <c r="A3" s="59" t="s">
        <v>406</v>
      </c>
      <c r="B3" s="5" t="s">
        <v>2</v>
      </c>
      <c r="C3" s="6" t="s">
        <v>3</v>
      </c>
      <c r="D3" s="6"/>
      <c r="E3" s="6"/>
      <c r="F3" s="6"/>
      <c r="G3" s="7" t="s">
        <v>24</v>
      </c>
      <c r="H3" s="6"/>
      <c r="I3" s="6"/>
      <c r="J3" s="6"/>
      <c r="K3" s="18"/>
      <c r="L3" s="6"/>
      <c r="M3" s="6"/>
      <c r="N3" s="76">
        <f>+N44+N54</f>
        <v>186.65532593263777</v>
      </c>
      <c r="O3" s="113" t="e">
        <f>+N3/#REF!-1</f>
        <v>#REF!</v>
      </c>
    </row>
    <row r="5" spans="1:16" s="2" customFormat="1" ht="52.8" x14ac:dyDescent="0.25">
      <c r="A5" s="59" t="s">
        <v>452</v>
      </c>
      <c r="B5" s="1403" t="s">
        <v>191</v>
      </c>
      <c r="C5" s="1390" t="s">
        <v>432</v>
      </c>
      <c r="D5" s="1390"/>
      <c r="E5" s="1403" t="s">
        <v>4</v>
      </c>
      <c r="F5" s="1422" t="str">
        <f>+K10&amp;" . "&amp;K12&amp;" . "&amp;ROUND(K14,2)&amp;"  . "&amp;K22</f>
        <v>0,4207 . 192 . 5445,3  . 1</v>
      </c>
      <c r="G5" s="1422"/>
      <c r="H5" s="1422"/>
      <c r="I5" s="1422"/>
      <c r="J5" s="1403" t="s">
        <v>4</v>
      </c>
      <c r="K5" s="1426">
        <f>+(K10*K12*K14*K22)/K20</f>
        <v>68.003738233197055</v>
      </c>
      <c r="L5" s="32">
        <f>+K16*M5</f>
        <v>12.868612017360649</v>
      </c>
      <c r="M5" s="32">
        <f>+K18*K5</f>
        <v>72.537320782076861</v>
      </c>
      <c r="N5" s="32">
        <f>L5+M5</f>
        <v>85.405932799437508</v>
      </c>
      <c r="O5" s="112">
        <v>1</v>
      </c>
    </row>
    <row r="6" spans="1:16" s="2" customFormat="1" x14ac:dyDescent="0.25">
      <c r="A6" s="59"/>
      <c r="B6" s="1403"/>
      <c r="C6" s="1393" t="s">
        <v>329</v>
      </c>
      <c r="D6" s="1393"/>
      <c r="E6" s="1403"/>
      <c r="F6" s="1399">
        <f>+ROUND(K20,2)</f>
        <v>6467.9</v>
      </c>
      <c r="G6" s="1399"/>
      <c r="H6" s="1399"/>
      <c r="I6" s="1399"/>
      <c r="J6" s="1403"/>
      <c r="K6" s="1426"/>
    </row>
    <row r="8" spans="1:16" x14ac:dyDescent="0.25">
      <c r="B8" s="8" t="s">
        <v>5</v>
      </c>
    </row>
    <row r="10" spans="1:16" x14ac:dyDescent="0.25">
      <c r="A10" s="35" t="s">
        <v>400</v>
      </c>
      <c r="B10" s="4" t="s">
        <v>193</v>
      </c>
      <c r="C10" s="8" t="s">
        <v>194</v>
      </c>
      <c r="K10" s="72">
        <f>+'Hoja Llave'!J41</f>
        <v>0.42070000000000002</v>
      </c>
      <c r="M10" s="8" t="s">
        <v>444</v>
      </c>
    </row>
    <row r="12" spans="1:16" x14ac:dyDescent="0.25">
      <c r="A12" s="35" t="s">
        <v>401</v>
      </c>
      <c r="B12" s="4" t="s">
        <v>12</v>
      </c>
      <c r="C12" t="s">
        <v>6</v>
      </c>
      <c r="K12" s="72">
        <f>+'Hoja Llave'!J3</f>
        <v>192</v>
      </c>
      <c r="N12" s="10">
        <v>24</v>
      </c>
      <c r="O12">
        <f>365/12</f>
        <v>30.416666666666668</v>
      </c>
    </row>
    <row r="13" spans="1:16" x14ac:dyDescent="0.25">
      <c r="N13" s="10">
        <f>+N12*O13/O12</f>
        <v>22.093150684931505</v>
      </c>
      <c r="O13">
        <v>28</v>
      </c>
    </row>
    <row r="14" spans="1:16" ht="26.4" x14ac:dyDescent="0.25">
      <c r="A14" s="35" t="s">
        <v>402</v>
      </c>
      <c r="B14" s="1403" t="s">
        <v>195</v>
      </c>
      <c r="C14" s="66" t="s">
        <v>373</v>
      </c>
      <c r="D14" s="37"/>
      <c r="E14" s="37"/>
      <c r="F14" s="37"/>
      <c r="G14" s="37"/>
      <c r="H14" s="26"/>
      <c r="I14" s="26"/>
      <c r="K14" s="1427">
        <f>+'Hoja Llave'!J39*O5</f>
        <v>5445.3036458333336</v>
      </c>
      <c r="M14" s="8" t="s">
        <v>433</v>
      </c>
      <c r="N14" s="120">
        <f>+N13</f>
        <v>22.093150684931505</v>
      </c>
      <c r="O14" s="8" t="s">
        <v>437</v>
      </c>
      <c r="P14">
        <f>+N17*8/12</f>
        <v>34.062100456621003</v>
      </c>
    </row>
    <row r="15" spans="1:16" x14ac:dyDescent="0.25">
      <c r="B15" s="1403"/>
      <c r="C15" s="1420" t="s">
        <v>7</v>
      </c>
      <c r="D15" s="1420"/>
      <c r="E15" s="1420"/>
      <c r="F15" s="1420"/>
      <c r="G15" s="1420"/>
      <c r="H15" s="1420"/>
      <c r="K15" s="1427"/>
      <c r="M15" s="8" t="s">
        <v>434</v>
      </c>
      <c r="N15" s="10">
        <v>15</v>
      </c>
      <c r="O15" s="8" t="s">
        <v>438</v>
      </c>
      <c r="P15">
        <v>192</v>
      </c>
    </row>
    <row r="16" spans="1:16" x14ac:dyDescent="0.25">
      <c r="A16" s="119" t="s">
        <v>448</v>
      </c>
      <c r="B16" s="4" t="s">
        <v>11</v>
      </c>
      <c r="C16" t="s">
        <v>170</v>
      </c>
      <c r="K16" s="72">
        <f>+P16</f>
        <v>0.17740677321156773</v>
      </c>
      <c r="M16" s="8" t="s">
        <v>435</v>
      </c>
      <c r="N16" s="10">
        <v>14</v>
      </c>
      <c r="O16" s="8" t="s">
        <v>439</v>
      </c>
      <c r="P16" s="65">
        <f>+P14/P15</f>
        <v>0.17740677321156773</v>
      </c>
    </row>
    <row r="17" spans="1:14" x14ac:dyDescent="0.25">
      <c r="B17" s="4"/>
      <c r="M17" s="8" t="s">
        <v>436</v>
      </c>
      <c r="N17" s="10">
        <f>+SUM(N14:N16)</f>
        <v>51.093150684931501</v>
      </c>
    </row>
    <row r="18" spans="1:14" x14ac:dyDescent="0.25">
      <c r="A18" s="35" t="s">
        <v>403</v>
      </c>
      <c r="B18" s="4" t="s">
        <v>197</v>
      </c>
      <c r="C18" s="8" t="s">
        <v>198</v>
      </c>
      <c r="K18" s="72">
        <f>+N18</f>
        <v>1.0666666666666667</v>
      </c>
      <c r="M18" s="8" t="s">
        <v>440</v>
      </c>
      <c r="N18" s="65">
        <f>8/(8-0.5)</f>
        <v>1.0666666666666667</v>
      </c>
    </row>
    <row r="19" spans="1:14" x14ac:dyDescent="0.25">
      <c r="B19" s="4"/>
    </row>
    <row r="20" spans="1:14" x14ac:dyDescent="0.25">
      <c r="A20" s="35" t="s">
        <v>404</v>
      </c>
      <c r="B20" s="4" t="s">
        <v>329</v>
      </c>
      <c r="C20" s="8" t="s">
        <v>196</v>
      </c>
      <c r="K20" s="72">
        <f>+'Hoja Llave'!J30</f>
        <v>6467.8964162485545</v>
      </c>
    </row>
    <row r="21" spans="1:14" x14ac:dyDescent="0.25">
      <c r="B21" s="4"/>
    </row>
    <row r="22" spans="1:14" ht="39.6" x14ac:dyDescent="0.25">
      <c r="A22" s="35" t="s">
        <v>412</v>
      </c>
      <c r="B22" s="4" t="s">
        <v>199</v>
      </c>
      <c r="C22" s="8" t="s">
        <v>200</v>
      </c>
      <c r="K22" s="72">
        <v>1</v>
      </c>
    </row>
    <row r="23" spans="1:14" x14ac:dyDescent="0.25">
      <c r="B23" s="4"/>
    </row>
    <row r="24" spans="1:14" x14ac:dyDescent="0.25">
      <c r="B24" s="4"/>
    </row>
    <row r="25" spans="1:14" x14ac:dyDescent="0.25">
      <c r="B25" s="4" t="s">
        <v>201</v>
      </c>
      <c r="C25" s="1423" t="s">
        <v>441</v>
      </c>
      <c r="D25" s="1423"/>
      <c r="E25" s="1423"/>
      <c r="F25" s="45" t="s">
        <v>4</v>
      </c>
      <c r="G25" s="1390" t="str">
        <f>+K30&amp;" . "&amp;K32&amp;" . "&amp;ROUND(K34,4)&amp;" . "&amp;K42</f>
        <v>0,5793 . 192 . 5445,3036 . 1,2</v>
      </c>
      <c r="H25" s="1390"/>
      <c r="I25" s="1390"/>
      <c r="J25" s="57" t="s">
        <v>4</v>
      </c>
      <c r="K25" s="13">
        <f>+(K30*K32*K34*K42)/(K40)</f>
        <v>75.026005252287248</v>
      </c>
      <c r="L25" s="71">
        <f>+K36*M25</f>
        <v>15.211567427157044</v>
      </c>
      <c r="M25" s="71">
        <f>+K38*K25</f>
        <v>85.744006002614</v>
      </c>
      <c r="N25" s="10">
        <f>L25+M25</f>
        <v>100.95557342977105</v>
      </c>
    </row>
    <row r="26" spans="1:14" x14ac:dyDescent="0.25">
      <c r="B26" s="4"/>
      <c r="C26" s="1424" t="s">
        <v>369</v>
      </c>
      <c r="D26" s="1424"/>
      <c r="E26" s="1424"/>
      <c r="F26" s="54"/>
      <c r="G26" s="1404">
        <f>+K40</f>
        <v>9687.155750650114</v>
      </c>
      <c r="H26" s="1404"/>
      <c r="I26" s="1404"/>
      <c r="J26" s="56"/>
    </row>
    <row r="27" spans="1:14" x14ac:dyDescent="0.25">
      <c r="B27" s="4"/>
    </row>
    <row r="28" spans="1:14" x14ac:dyDescent="0.25">
      <c r="B28" s="4" t="s">
        <v>202</v>
      </c>
    </row>
    <row r="29" spans="1:14" x14ac:dyDescent="0.25">
      <c r="B29" s="4"/>
    </row>
    <row r="30" spans="1:14" x14ac:dyDescent="0.25">
      <c r="A30" s="35" t="s">
        <v>400</v>
      </c>
      <c r="B30" s="4" t="s">
        <v>203</v>
      </c>
      <c r="C30" s="8" t="s">
        <v>206</v>
      </c>
      <c r="K30" s="72">
        <f>+'Hoja Llave'!J42</f>
        <v>0.57930000000000004</v>
      </c>
      <c r="M30" s="8" t="s">
        <v>445</v>
      </c>
    </row>
    <row r="31" spans="1:14" x14ac:dyDescent="0.25">
      <c r="B31" s="4"/>
    </row>
    <row r="32" spans="1:14" x14ac:dyDescent="0.25">
      <c r="A32" s="35" t="s">
        <v>401</v>
      </c>
      <c r="B32" s="4" t="s">
        <v>174</v>
      </c>
      <c r="C32" s="8" t="s">
        <v>6</v>
      </c>
      <c r="K32" s="10">
        <f>+'Hoja Llave'!J3</f>
        <v>192</v>
      </c>
    </row>
    <row r="33" spans="1:16" x14ac:dyDescent="0.25">
      <c r="B33" s="4"/>
    </row>
    <row r="34" spans="1:16" ht="26.4" x14ac:dyDescent="0.25">
      <c r="A34" s="35" t="s">
        <v>402</v>
      </c>
      <c r="B34" s="4" t="s">
        <v>204</v>
      </c>
      <c r="C34" s="1425" t="s">
        <v>363</v>
      </c>
      <c r="D34" s="1425"/>
      <c r="E34" s="1425"/>
      <c r="F34" s="36" t="str">
        <f>+"("&amp;'Hoja Llave'!J48&amp;"x1,1)"</f>
        <v>(950453x1,1)</v>
      </c>
      <c r="G34" s="36"/>
      <c r="K34" s="72">
        <f>+'Hoja Llave'!J40*O5</f>
        <v>5445.3036458333336</v>
      </c>
      <c r="M34" s="8" t="s">
        <v>433</v>
      </c>
      <c r="N34" s="120">
        <f>+N13</f>
        <v>22.093150684931505</v>
      </c>
      <c r="O34" s="8" t="s">
        <v>437</v>
      </c>
      <c r="P34">
        <f>+N37*8/12</f>
        <v>34.062100456621003</v>
      </c>
    </row>
    <row r="35" spans="1:16" x14ac:dyDescent="0.25">
      <c r="B35" s="4"/>
      <c r="C35" s="1418" t="s">
        <v>207</v>
      </c>
      <c r="D35" s="1418"/>
      <c r="E35" s="1418"/>
      <c r="F35" s="1418"/>
      <c r="G35" s="1418"/>
      <c r="M35" s="8" t="s">
        <v>434</v>
      </c>
      <c r="N35" s="10">
        <f>+N15</f>
        <v>15</v>
      </c>
      <c r="O35" s="8" t="s">
        <v>438</v>
      </c>
      <c r="P35">
        <v>192</v>
      </c>
    </row>
    <row r="36" spans="1:16" x14ac:dyDescent="0.25">
      <c r="A36" s="119" t="s">
        <v>448</v>
      </c>
      <c r="B36" s="4" t="s">
        <v>175</v>
      </c>
      <c r="C36" s="8" t="s">
        <v>208</v>
      </c>
      <c r="K36" s="10">
        <f>+P36</f>
        <v>0.17740677321156773</v>
      </c>
      <c r="M36" s="8" t="s">
        <v>435</v>
      </c>
      <c r="N36" s="10">
        <v>14</v>
      </c>
      <c r="O36" s="8" t="s">
        <v>439</v>
      </c>
      <c r="P36" s="65">
        <f>+P34/P35</f>
        <v>0.17740677321156773</v>
      </c>
    </row>
    <row r="37" spans="1:16" x14ac:dyDescent="0.25">
      <c r="B37" s="4"/>
      <c r="M37" s="8" t="s">
        <v>436</v>
      </c>
      <c r="N37" s="10">
        <f>+SUM(N34:N36)</f>
        <v>51.093150684931501</v>
      </c>
    </row>
    <row r="38" spans="1:16" x14ac:dyDescent="0.25">
      <c r="A38" s="35" t="s">
        <v>403</v>
      </c>
      <c r="B38" s="4" t="s">
        <v>205</v>
      </c>
      <c r="C38" s="8" t="s">
        <v>198</v>
      </c>
      <c r="K38" s="72">
        <f>+N38</f>
        <v>1.1428571428571428</v>
      </c>
      <c r="M38" s="8" t="s">
        <v>440</v>
      </c>
      <c r="N38" s="65">
        <f>8/(8-1)</f>
        <v>1.1428571428571428</v>
      </c>
    </row>
    <row r="39" spans="1:16" x14ac:dyDescent="0.25">
      <c r="B39" s="4"/>
    </row>
    <row r="40" spans="1:16" x14ac:dyDescent="0.25">
      <c r="A40" s="35" t="s">
        <v>404</v>
      </c>
      <c r="B40" s="4" t="s">
        <v>218</v>
      </c>
      <c r="C40" s="8" t="s">
        <v>209</v>
      </c>
      <c r="K40" s="72">
        <f>+'Hoja Llave'!J46</f>
        <v>9687.155750650114</v>
      </c>
    </row>
    <row r="41" spans="1:16" x14ac:dyDescent="0.25">
      <c r="B41" s="4"/>
    </row>
    <row r="42" spans="1:16" ht="39.6" x14ac:dyDescent="0.25">
      <c r="A42" s="35" t="s">
        <v>412</v>
      </c>
      <c r="B42" s="4" t="s">
        <v>210</v>
      </c>
      <c r="C42" s="8" t="s">
        <v>211</v>
      </c>
      <c r="K42" s="72">
        <v>1.2</v>
      </c>
      <c r="M42" s="8" t="s">
        <v>442</v>
      </c>
    </row>
    <row r="43" spans="1:16" x14ac:dyDescent="0.25">
      <c r="B43" s="4"/>
      <c r="C43" s="8"/>
    </row>
    <row r="44" spans="1:16" s="2" customFormat="1" x14ac:dyDescent="0.25">
      <c r="A44" s="59"/>
      <c r="B44" s="4" t="s">
        <v>212</v>
      </c>
      <c r="C44" s="1393" t="s">
        <v>222</v>
      </c>
      <c r="D44" s="1393"/>
      <c r="E44" s="1393"/>
      <c r="F44" s="2" t="s">
        <v>4</v>
      </c>
      <c r="G44" s="1393" t="str">
        <f>+ROUND(K5,4)&amp;" + "&amp;ROUND(K25,4)</f>
        <v>68,0037 + 75,026</v>
      </c>
      <c r="H44" s="1393"/>
      <c r="J44" s="2" t="s">
        <v>4</v>
      </c>
      <c r="K44" s="13"/>
      <c r="N44" s="13">
        <f>+N5+N25</f>
        <v>186.36150622920854</v>
      </c>
      <c r="O44" s="2" t="e">
        <f>+N44/#REF!-1</f>
        <v>#REF!</v>
      </c>
    </row>
    <row r="45" spans="1:16" s="2" customFormat="1" x14ac:dyDescent="0.25">
      <c r="A45" s="59"/>
      <c r="B45" s="4"/>
      <c r="C45" s="4"/>
      <c r="D45" s="4"/>
      <c r="E45" s="4"/>
      <c r="G45" s="4"/>
      <c r="H45" s="4"/>
      <c r="K45" s="13"/>
      <c r="N45" s="13"/>
    </row>
    <row r="46" spans="1:16" s="2" customFormat="1" ht="26.4" x14ac:dyDescent="0.25">
      <c r="A46" s="118" t="s">
        <v>447</v>
      </c>
      <c r="B46" s="70" t="s">
        <v>392</v>
      </c>
      <c r="C46" s="4"/>
      <c r="D46" s="4"/>
      <c r="E46" s="4"/>
      <c r="G46" s="4"/>
      <c r="H46" s="4"/>
      <c r="K46" s="13"/>
      <c r="N46" s="13"/>
    </row>
    <row r="47" spans="1:16" s="2" customFormat="1" x14ac:dyDescent="0.25">
      <c r="A47" s="59"/>
      <c r="B47" s="4"/>
      <c r="C47" s="4"/>
      <c r="D47" s="4"/>
      <c r="E47" s="4"/>
      <c r="G47" s="4"/>
      <c r="H47" s="4"/>
      <c r="K47" s="13"/>
      <c r="N47" s="13"/>
    </row>
    <row r="48" spans="1:16" x14ac:dyDescent="0.25">
      <c r="A48" s="35" t="s">
        <v>401</v>
      </c>
      <c r="B48" s="4" t="s">
        <v>387</v>
      </c>
      <c r="C48" s="1390" t="s">
        <v>388</v>
      </c>
      <c r="D48" s="1390"/>
      <c r="E48" s="1390"/>
      <c r="K48" s="10">
        <f>+(K10*1940*O5*K22)/K20</f>
        <v>0.1261860035280806</v>
      </c>
      <c r="L48" s="2"/>
      <c r="M48" s="8" t="s">
        <v>443</v>
      </c>
    </row>
    <row r="49" spans="1:15" x14ac:dyDescent="0.25">
      <c r="B49" s="4"/>
      <c r="C49" s="1393" t="s">
        <v>329</v>
      </c>
      <c r="D49" s="1393"/>
      <c r="E49" s="1393"/>
    </row>
    <row r="50" spans="1:15" x14ac:dyDescent="0.25">
      <c r="B50" s="4"/>
    </row>
    <row r="51" spans="1:15" x14ac:dyDescent="0.25">
      <c r="B51" s="4" t="s">
        <v>389</v>
      </c>
      <c r="C51" s="1390" t="s">
        <v>390</v>
      </c>
      <c r="D51" s="1390"/>
      <c r="E51" s="1390"/>
      <c r="K51" s="10">
        <f>+(K30*2336*O5*K42)/K40</f>
        <v>0.16763369990113136</v>
      </c>
      <c r="L51" s="2"/>
      <c r="M51" s="8" t="s">
        <v>446</v>
      </c>
    </row>
    <row r="52" spans="1:15" x14ac:dyDescent="0.25">
      <c r="B52" s="4"/>
      <c r="C52" s="1393" t="s">
        <v>391</v>
      </c>
      <c r="D52" s="1393"/>
      <c r="E52" s="1393"/>
    </row>
    <row r="53" spans="1:15" x14ac:dyDescent="0.25">
      <c r="B53" s="4"/>
      <c r="C53" s="4"/>
      <c r="D53" s="4"/>
      <c r="E53" s="4"/>
    </row>
    <row r="54" spans="1:15" x14ac:dyDescent="0.25">
      <c r="B54" s="4" t="s">
        <v>386</v>
      </c>
      <c r="C54" s="4"/>
      <c r="D54" s="4"/>
      <c r="E54" s="4"/>
      <c r="N54" s="13">
        <f>+K51+K48</f>
        <v>0.29381970342921193</v>
      </c>
      <c r="O54" s="2" t="e">
        <f>+N54/#REF!-1</f>
        <v>#REF!</v>
      </c>
    </row>
    <row r="55" spans="1:15" x14ac:dyDescent="0.25">
      <c r="B55" s="4"/>
      <c r="C55" s="4"/>
      <c r="D55" s="4"/>
      <c r="E55" s="4"/>
    </row>
    <row r="56" spans="1:15" x14ac:dyDescent="0.25">
      <c r="B56" s="4"/>
    </row>
    <row r="57" spans="1:15" s="2" customFormat="1" x14ac:dyDescent="0.25">
      <c r="A57" s="59"/>
      <c r="B57" s="5" t="s">
        <v>8</v>
      </c>
      <c r="C57" s="6" t="s">
        <v>9</v>
      </c>
      <c r="D57" s="6"/>
      <c r="E57" s="6"/>
      <c r="F57" s="6"/>
      <c r="G57" s="7" t="s">
        <v>23</v>
      </c>
      <c r="H57" s="6"/>
      <c r="I57" s="6"/>
      <c r="J57" s="6"/>
      <c r="K57" s="18"/>
      <c r="L57" s="6"/>
      <c r="M57" s="6"/>
      <c r="N57" s="76">
        <f>+N91</f>
        <v>16.087256693361873</v>
      </c>
      <c r="O57" s="2" t="e">
        <f>+N57/#REF!-1</f>
        <v>#REF!</v>
      </c>
    </row>
    <row r="59" spans="1:15" s="2" customFormat="1" x14ac:dyDescent="0.25">
      <c r="A59" s="59"/>
      <c r="B59" s="1403" t="s">
        <v>10</v>
      </c>
      <c r="C59" s="1390" t="s">
        <v>213</v>
      </c>
      <c r="D59" s="1390"/>
      <c r="E59" s="1403" t="s">
        <v>4</v>
      </c>
      <c r="F59" s="1421" t="str">
        <f>+K65&amp;" . "&amp;K67&amp;" . "&amp;ROUND(K69,2)&amp;" . "&amp;K71</f>
        <v>0,4207 . 10 . 5445,3 . 1,6</v>
      </c>
      <c r="G59" s="1421"/>
      <c r="H59" s="1421"/>
      <c r="I59" s="1421"/>
      <c r="J59" s="1403" t="s">
        <v>4</v>
      </c>
      <c r="K59" s="13">
        <f>+K67*K69*K71*K65/K73</f>
        <v>5.6669781860997555</v>
      </c>
      <c r="L59" s="2" t="e">
        <f>+K59/#REF!-1</f>
        <v>#REF!</v>
      </c>
    </row>
    <row r="60" spans="1:15" s="2" customFormat="1" x14ac:dyDescent="0.25">
      <c r="A60" s="59"/>
      <c r="B60" s="1403"/>
      <c r="C60" s="1393" t="s">
        <v>329</v>
      </c>
      <c r="D60" s="1393"/>
      <c r="E60" s="1403"/>
      <c r="F60" s="1399">
        <f>+K73</f>
        <v>6467.8964162485545</v>
      </c>
      <c r="G60" s="1399"/>
      <c r="H60" s="1399"/>
      <c r="I60" s="1399"/>
      <c r="J60" s="1403"/>
      <c r="K60" s="13"/>
      <c r="N60" s="13"/>
    </row>
    <row r="63" spans="1:15" x14ac:dyDescent="0.25">
      <c r="B63" s="8" t="s">
        <v>5</v>
      </c>
    </row>
    <row r="65" spans="1:11" x14ac:dyDescent="0.25">
      <c r="A65" s="35" t="s">
        <v>400</v>
      </c>
      <c r="B65" s="4" t="s">
        <v>193</v>
      </c>
      <c r="C65" s="8" t="s">
        <v>194</v>
      </c>
      <c r="K65" s="10">
        <f>+'Hoja Llave'!J41</f>
        <v>0.42070000000000002</v>
      </c>
    </row>
    <row r="67" spans="1:11" x14ac:dyDescent="0.25">
      <c r="A67" s="35" t="s">
        <v>449</v>
      </c>
      <c r="B67" s="4" t="s">
        <v>214</v>
      </c>
      <c r="C67" s="8" t="s">
        <v>332</v>
      </c>
      <c r="K67" s="72">
        <f>+'Hoja Llave'!J37</f>
        <v>10</v>
      </c>
    </row>
    <row r="69" spans="1:11" ht="26.4" x14ac:dyDescent="0.25">
      <c r="A69" s="35" t="s">
        <v>402</v>
      </c>
      <c r="B69" s="1403" t="s">
        <v>195</v>
      </c>
      <c r="C69" s="36" t="s">
        <v>365</v>
      </c>
      <c r="D69" s="37"/>
      <c r="E69" s="37"/>
      <c r="F69" s="37"/>
      <c r="G69" s="37"/>
      <c r="H69" s="36" t="str">
        <f>+"("&amp;'Hoja Llave'!J32&amp;"x1,1)"</f>
        <v>(950453x1,1)</v>
      </c>
      <c r="I69" s="26"/>
      <c r="K69" s="1419">
        <f>+'Hoja Llave'!J39*O5</f>
        <v>5445.3036458333336</v>
      </c>
    </row>
    <row r="70" spans="1:11" x14ac:dyDescent="0.25">
      <c r="B70" s="1403"/>
      <c r="C70" s="1420" t="s">
        <v>7</v>
      </c>
      <c r="D70" s="1420"/>
      <c r="E70" s="1420"/>
      <c r="F70" s="1420"/>
      <c r="G70" s="1420"/>
      <c r="H70" s="1420"/>
      <c r="K70" s="1419"/>
    </row>
    <row r="71" spans="1:11" x14ac:dyDescent="0.25">
      <c r="A71" s="35" t="s">
        <v>451</v>
      </c>
      <c r="B71" s="4" t="s">
        <v>215</v>
      </c>
      <c r="C71" t="s">
        <v>13</v>
      </c>
      <c r="K71" s="72">
        <f>+'Hoja Llave'!J38</f>
        <v>1.6</v>
      </c>
    </row>
    <row r="72" spans="1:11" x14ac:dyDescent="0.25">
      <c r="B72" s="4"/>
    </row>
    <row r="73" spans="1:11" x14ac:dyDescent="0.25">
      <c r="A73" s="35" t="s">
        <v>404</v>
      </c>
      <c r="B73" s="4" t="s">
        <v>329</v>
      </c>
      <c r="C73" s="8" t="s">
        <v>216</v>
      </c>
      <c r="K73" s="74">
        <f>+K20</f>
        <v>6467.8964162485545</v>
      </c>
    </row>
    <row r="74" spans="1:11" x14ac:dyDescent="0.25">
      <c r="B74" s="4"/>
      <c r="C74" s="8"/>
    </row>
    <row r="75" spans="1:11" x14ac:dyDescent="0.25">
      <c r="B75" s="4"/>
    </row>
    <row r="76" spans="1:11" x14ac:dyDescent="0.25">
      <c r="A76" s="35"/>
      <c r="B76" s="4" t="s">
        <v>328</v>
      </c>
      <c r="C76" s="1390" t="s">
        <v>217</v>
      </c>
      <c r="D76" s="1390"/>
      <c r="E76" s="1390"/>
      <c r="F76" s="54" t="s">
        <v>4</v>
      </c>
      <c r="G76" s="1390" t="str">
        <f>+K81&amp;" . "&amp;K83&amp;" . "&amp;ROUND(K85,4)&amp;" . "&amp;K87</f>
        <v>0,5793 . 20 . 5445,3036 . 1,6</v>
      </c>
      <c r="H76" s="1390"/>
      <c r="I76" s="1390"/>
      <c r="J76" s="54" t="s">
        <v>4</v>
      </c>
      <c r="K76" s="13">
        <f>+(K81*K83*K85*K87)/K89</f>
        <v>10.420278507262118</v>
      </c>
    </row>
    <row r="77" spans="1:11" x14ac:dyDescent="0.25">
      <c r="B77" s="4"/>
      <c r="C77" s="1402" t="s">
        <v>218</v>
      </c>
      <c r="D77" s="1402"/>
      <c r="E77" s="1402"/>
      <c r="F77" s="54"/>
      <c r="G77" s="1404">
        <f>+K89</f>
        <v>9687.155750650114</v>
      </c>
      <c r="H77" s="1404"/>
      <c r="I77" s="1404"/>
      <c r="J77" s="56"/>
    </row>
    <row r="78" spans="1:11" x14ac:dyDescent="0.25">
      <c r="B78" s="4"/>
    </row>
    <row r="79" spans="1:11" x14ac:dyDescent="0.25">
      <c r="B79" s="4" t="s">
        <v>202</v>
      </c>
    </row>
    <row r="80" spans="1:11" x14ac:dyDescent="0.25">
      <c r="B80" s="4"/>
    </row>
    <row r="81" spans="1:15" x14ac:dyDescent="0.25">
      <c r="A81" s="35" t="s">
        <v>400</v>
      </c>
      <c r="B81" s="4" t="s">
        <v>203</v>
      </c>
      <c r="C81" s="8" t="s">
        <v>206</v>
      </c>
      <c r="K81" s="10">
        <f>+'Hoja Llave'!J42</f>
        <v>0.57930000000000004</v>
      </c>
    </row>
    <row r="82" spans="1:15" x14ac:dyDescent="0.25">
      <c r="B82" s="4"/>
    </row>
    <row r="83" spans="1:15" x14ac:dyDescent="0.25">
      <c r="A83" s="35" t="s">
        <v>449</v>
      </c>
      <c r="B83" s="4" t="s">
        <v>331</v>
      </c>
      <c r="C83" s="8" t="s">
        <v>378</v>
      </c>
      <c r="K83" s="72">
        <f>+'Hoja Llave'!J47</f>
        <v>20</v>
      </c>
    </row>
    <row r="84" spans="1:15" x14ac:dyDescent="0.25">
      <c r="B84" s="4"/>
    </row>
    <row r="85" spans="1:15" ht="26.4" x14ac:dyDescent="0.25">
      <c r="A85" s="35" t="s">
        <v>402</v>
      </c>
      <c r="B85" s="4" t="s">
        <v>204</v>
      </c>
      <c r="C85" s="36" t="s">
        <v>364</v>
      </c>
      <c r="D85" s="36"/>
      <c r="E85" s="36" t="str">
        <f>+"("&amp;'Hoja Llave'!J48&amp;"x1,1)"</f>
        <v>(950453x1,1)</v>
      </c>
      <c r="G85" s="55"/>
      <c r="K85" s="10">
        <f>+'Hoja Llave'!J40*O5</f>
        <v>5445.3036458333336</v>
      </c>
    </row>
    <row r="86" spans="1:15" x14ac:dyDescent="0.25">
      <c r="B86" s="4"/>
      <c r="C86" s="1418" t="s">
        <v>207</v>
      </c>
      <c r="D86" s="1418"/>
      <c r="E86" s="1418"/>
      <c r="F86" s="55"/>
      <c r="G86" s="55"/>
    </row>
    <row r="87" spans="1:15" x14ac:dyDescent="0.25">
      <c r="A87" s="35" t="s">
        <v>451</v>
      </c>
      <c r="B87" s="4" t="s">
        <v>219</v>
      </c>
      <c r="C87" s="8" t="s">
        <v>13</v>
      </c>
      <c r="K87" s="72">
        <f>+'Hoja Llave'!J38</f>
        <v>1.6</v>
      </c>
    </row>
    <row r="88" spans="1:15" x14ac:dyDescent="0.25">
      <c r="B88" s="4"/>
    </row>
    <row r="89" spans="1:15" x14ac:dyDescent="0.25">
      <c r="A89" s="35" t="s">
        <v>404</v>
      </c>
      <c r="B89" s="4" t="s">
        <v>218</v>
      </c>
      <c r="C89" s="8" t="s">
        <v>209</v>
      </c>
      <c r="K89" s="74">
        <f>+K40</f>
        <v>9687.155750650114</v>
      </c>
    </row>
    <row r="90" spans="1:15" x14ac:dyDescent="0.25">
      <c r="B90" s="4"/>
    </row>
    <row r="91" spans="1:15" s="2" customFormat="1" x14ac:dyDescent="0.25">
      <c r="A91" s="35"/>
      <c r="B91" s="4" t="s">
        <v>220</v>
      </c>
      <c r="C91" s="1393" t="s">
        <v>221</v>
      </c>
      <c r="D91" s="1393"/>
      <c r="E91" s="1393"/>
      <c r="F91" s="2" t="s">
        <v>4</v>
      </c>
      <c r="G91" s="1398" t="str">
        <f>+ROUND(K59,4)&amp;" + "&amp;ROUND(K76,4)</f>
        <v>5,667 + 10,4203</v>
      </c>
      <c r="H91" s="1393"/>
      <c r="I91" s="1393"/>
      <c r="J91" s="2" t="s">
        <v>4</v>
      </c>
      <c r="K91" s="13"/>
      <c r="N91" s="13">
        <f>+K76+K59</f>
        <v>16.087256693361873</v>
      </c>
    </row>
    <row r="92" spans="1:15" x14ac:dyDescent="0.25">
      <c r="B92" s="4"/>
    </row>
    <row r="94" spans="1:15" s="2" customFormat="1" x14ac:dyDescent="0.25">
      <c r="A94" s="59"/>
      <c r="B94" s="5" t="s">
        <v>14</v>
      </c>
      <c r="C94" s="6" t="s">
        <v>399</v>
      </c>
      <c r="D94" s="6"/>
      <c r="E94" s="6"/>
      <c r="F94" s="6"/>
      <c r="G94" s="7" t="s">
        <v>22</v>
      </c>
      <c r="H94" s="6"/>
      <c r="I94" s="6"/>
      <c r="J94" s="6"/>
      <c r="K94" s="18"/>
      <c r="L94" s="6"/>
      <c r="M94" s="6"/>
      <c r="N94" s="76">
        <f>+N96+N98</f>
        <v>47.572543946436021</v>
      </c>
      <c r="O94" s="2" t="e">
        <f>+N94/#REF!-1</f>
        <v>#REF!</v>
      </c>
    </row>
    <row r="96" spans="1:15" s="2" customFormat="1" ht="26.4" x14ac:dyDescent="0.25">
      <c r="A96" s="59" t="s">
        <v>408</v>
      </c>
      <c r="B96" s="4" t="s">
        <v>16</v>
      </c>
      <c r="C96" s="1393" t="s">
        <v>450</v>
      </c>
      <c r="D96" s="1393"/>
      <c r="E96" s="4" t="s">
        <v>4</v>
      </c>
      <c r="F96" s="1393"/>
      <c r="G96" s="1393"/>
      <c r="H96" s="1393"/>
      <c r="I96" s="1393"/>
      <c r="J96" s="14" t="s">
        <v>4</v>
      </c>
      <c r="K96" s="13"/>
      <c r="N96" s="13">
        <f>B103*(N44-L5-L25)</f>
        <v>47.48439803540726</v>
      </c>
    </row>
    <row r="97" spans="1:15" s="2" customFormat="1" x14ac:dyDescent="0.25">
      <c r="A97" s="59"/>
      <c r="B97" s="4"/>
      <c r="C97" s="4"/>
      <c r="D97" s="4"/>
      <c r="E97" s="4"/>
      <c r="F97" s="4"/>
      <c r="G97" s="4"/>
      <c r="H97" s="4"/>
      <c r="I97" s="4"/>
      <c r="J97" s="14"/>
      <c r="K97" s="13"/>
      <c r="N97" s="13"/>
    </row>
    <row r="98" spans="1:15" s="2" customFormat="1" x14ac:dyDescent="0.25">
      <c r="A98" s="59"/>
      <c r="B98" s="4" t="s">
        <v>393</v>
      </c>
      <c r="C98" s="1393" t="s">
        <v>450</v>
      </c>
      <c r="D98" s="1393"/>
      <c r="E98" s="4" t="s">
        <v>4</v>
      </c>
      <c r="F98" s="4"/>
      <c r="G98" s="4"/>
      <c r="H98" s="4"/>
      <c r="I98" s="4"/>
      <c r="J98" s="14"/>
      <c r="K98" s="13"/>
      <c r="N98" s="13">
        <f>+B103*(N54)</f>
        <v>8.8145911028763582E-2</v>
      </c>
    </row>
    <row r="101" spans="1:15" x14ac:dyDescent="0.25">
      <c r="B101" s="8" t="s">
        <v>5</v>
      </c>
    </row>
    <row r="102" spans="1:15" x14ac:dyDescent="0.25">
      <c r="C102" s="8"/>
    </row>
    <row r="103" spans="1:15" ht="39.6" x14ac:dyDescent="0.25">
      <c r="A103" s="35" t="s">
        <v>407</v>
      </c>
      <c r="B103" s="1403">
        <v>0.3</v>
      </c>
      <c r="C103" s="1406" t="s">
        <v>190</v>
      </c>
      <c r="D103" s="1408"/>
      <c r="E103" s="1408"/>
      <c r="F103" s="1408"/>
      <c r="G103" s="1408"/>
      <c r="H103" s="1408"/>
      <c r="I103" s="1408"/>
      <c r="J103" s="1408"/>
      <c r="K103" s="1408"/>
      <c r="L103" s="1408"/>
      <c r="M103" s="1408"/>
      <c r="N103" s="1408"/>
    </row>
    <row r="104" spans="1:15" x14ac:dyDescent="0.25">
      <c r="B104" s="1403"/>
      <c r="C104" s="1408"/>
      <c r="D104" s="1408"/>
      <c r="E104" s="1408"/>
      <c r="F104" s="1408"/>
      <c r="G104" s="1408"/>
      <c r="H104" s="1408"/>
      <c r="I104" s="1408"/>
      <c r="J104" s="1408"/>
      <c r="K104" s="1408"/>
      <c r="L104" s="1408"/>
      <c r="M104" s="1408"/>
      <c r="N104" s="1408"/>
    </row>
    <row r="107" spans="1:15" s="2" customFormat="1" x14ac:dyDescent="0.25">
      <c r="A107" s="59"/>
      <c r="B107" s="5" t="s">
        <v>19</v>
      </c>
      <c r="C107" s="6" t="s">
        <v>20</v>
      </c>
      <c r="D107" s="6"/>
      <c r="E107" s="6"/>
      <c r="F107" s="6"/>
      <c r="G107" s="7" t="s">
        <v>21</v>
      </c>
      <c r="H107" s="6"/>
      <c r="I107" s="6"/>
      <c r="J107" s="6"/>
      <c r="K107" s="18"/>
      <c r="L107" s="6"/>
      <c r="M107" s="6"/>
      <c r="N107" s="11"/>
    </row>
    <row r="110" spans="1:15" s="2" customFormat="1" x14ac:dyDescent="0.25">
      <c r="A110" s="59"/>
      <c r="B110" s="2" t="s">
        <v>25</v>
      </c>
      <c r="C110" s="2" t="s">
        <v>26</v>
      </c>
      <c r="E110" s="2" t="s">
        <v>4</v>
      </c>
      <c r="F110" s="1393" t="str">
        <f>+ROUND(J116+J125,4)&amp;" . "&amp;"("&amp;ROUND(N44,4)&amp;" + "&amp;ROUND(N91,4)&amp;"  + "&amp;ROUND(N96,4)&amp;")"</f>
        <v>0,3328 . (186,3615 + 16,0873  + 47,4844)</v>
      </c>
      <c r="G110" s="1393"/>
      <c r="H110" s="1393"/>
      <c r="I110" s="1393"/>
      <c r="J110" s="4" t="s">
        <v>4</v>
      </c>
      <c r="K110" s="13"/>
      <c r="N110" s="78">
        <f>+(J121+J125)*(N44+N91+N96)</f>
        <v>67.554850630600043</v>
      </c>
      <c r="O110" s="2" t="e">
        <f>+N110/#REF!-1</f>
        <v>#REF!</v>
      </c>
    </row>
    <row r="113" spans="1:15" x14ac:dyDescent="0.25">
      <c r="B113" s="8" t="s">
        <v>5</v>
      </c>
    </row>
    <row r="114" spans="1:15" x14ac:dyDescent="0.25">
      <c r="J114" s="16"/>
    </row>
    <row r="115" spans="1:15" x14ac:dyDescent="0.25">
      <c r="B115" s="4" t="s">
        <v>27</v>
      </c>
      <c r="C115" t="s">
        <v>28</v>
      </c>
    </row>
    <row r="116" spans="1:15" x14ac:dyDescent="0.25">
      <c r="C116" s="2" t="s">
        <v>29</v>
      </c>
      <c r="J116" s="77">
        <f>1/12</f>
        <v>8.3333333333333329E-2</v>
      </c>
    </row>
    <row r="117" spans="1:15" x14ac:dyDescent="0.25">
      <c r="C117" t="s">
        <v>30</v>
      </c>
      <c r="F117" s="3">
        <v>0.02</v>
      </c>
      <c r="H117" s="16">
        <f>+$J$116*F117</f>
        <v>1.6666666666666666E-3</v>
      </c>
    </row>
    <row r="118" spans="1:15" x14ac:dyDescent="0.25">
      <c r="C118" s="8" t="s">
        <v>377</v>
      </c>
      <c r="F118" s="3">
        <v>5.33E-2</v>
      </c>
      <c r="H118" s="16">
        <f>+$J$116*F118</f>
        <v>4.4416666666666667E-3</v>
      </c>
    </row>
    <row r="119" spans="1:15" x14ac:dyDescent="0.25">
      <c r="C119" t="s">
        <v>32</v>
      </c>
      <c r="F119" s="3">
        <v>0.06</v>
      </c>
      <c r="H119" s="16">
        <f>+$J$116*F119</f>
        <v>4.9999999999999992E-3</v>
      </c>
    </row>
    <row r="120" spans="1:15" x14ac:dyDescent="0.25">
      <c r="C120" t="s">
        <v>33</v>
      </c>
      <c r="F120" s="3">
        <v>0.1162</v>
      </c>
      <c r="H120" s="16">
        <f>+$J$116*F120</f>
        <v>9.683333333333332E-3</v>
      </c>
    </row>
    <row r="121" spans="1:15" x14ac:dyDescent="0.25">
      <c r="C121" s="2" t="s">
        <v>34</v>
      </c>
      <c r="J121" s="79">
        <f>SUM(H117:H120)</f>
        <v>2.0791666666666667E-2</v>
      </c>
      <c r="K121" s="114"/>
    </row>
    <row r="122" spans="1:15" x14ac:dyDescent="0.25">
      <c r="C122" t="s">
        <v>30</v>
      </c>
      <c r="H122" s="15">
        <v>0.02</v>
      </c>
    </row>
    <row r="123" spans="1:15" x14ac:dyDescent="0.25">
      <c r="C123" t="s">
        <v>31</v>
      </c>
      <c r="H123" s="15">
        <v>5.33E-2</v>
      </c>
    </row>
    <row r="124" spans="1:15" x14ac:dyDescent="0.25">
      <c r="C124" t="s">
        <v>32</v>
      </c>
      <c r="H124" s="15">
        <v>0.06</v>
      </c>
    </row>
    <row r="125" spans="1:15" x14ac:dyDescent="0.25">
      <c r="C125" t="s">
        <v>33</v>
      </c>
      <c r="H125" s="15">
        <v>0.1162</v>
      </c>
      <c r="J125" s="77">
        <f>SUM(H122:H125)</f>
        <v>0.2495</v>
      </c>
    </row>
    <row r="128" spans="1:15" s="2" customFormat="1" x14ac:dyDescent="0.25">
      <c r="A128" s="59"/>
      <c r="B128" s="5" t="s">
        <v>35</v>
      </c>
      <c r="C128" s="6" t="s">
        <v>36</v>
      </c>
      <c r="D128" s="6"/>
      <c r="E128" s="6"/>
      <c r="F128" s="6"/>
      <c r="G128" s="7" t="s">
        <v>52</v>
      </c>
      <c r="H128" s="6"/>
      <c r="I128" s="6"/>
      <c r="J128" s="6"/>
      <c r="K128" s="18"/>
      <c r="L128" s="6"/>
      <c r="M128" s="6"/>
      <c r="N128" s="11">
        <f>+N153</f>
        <v>6.9476448824648447</v>
      </c>
      <c r="O128" s="2" t="e">
        <f>+N128/#REF!-1</f>
        <v>#REF!</v>
      </c>
    </row>
    <row r="130" spans="1:14" ht="52.8" x14ac:dyDescent="0.25">
      <c r="A130" s="35" t="s">
        <v>410</v>
      </c>
      <c r="B130" s="1408" t="s">
        <v>37</v>
      </c>
      <c r="C130" s="1408"/>
      <c r="D130" s="1408"/>
      <c r="E130" s="1408"/>
      <c r="F130" s="1408"/>
      <c r="G130" s="1408"/>
      <c r="H130" s="1408"/>
      <c r="I130" s="1408"/>
      <c r="J130" s="1408"/>
      <c r="K130" s="1408"/>
      <c r="L130" s="1408"/>
      <c r="M130" s="1408"/>
      <c r="N130" s="1408"/>
    </row>
    <row r="131" spans="1:14" x14ac:dyDescent="0.25">
      <c r="B131" s="1408"/>
      <c r="C131" s="1408"/>
      <c r="D131" s="1408"/>
      <c r="E131" s="1408"/>
      <c r="F131" s="1408"/>
      <c r="G131" s="1408"/>
      <c r="H131" s="1408"/>
      <c r="I131" s="1408"/>
      <c r="J131" s="1408"/>
      <c r="K131" s="1408"/>
      <c r="L131" s="1408"/>
      <c r="M131" s="1408"/>
      <c r="N131" s="1408"/>
    </row>
    <row r="133" spans="1:14" x14ac:dyDescent="0.25">
      <c r="B133" s="2" t="s">
        <v>38</v>
      </c>
    </row>
    <row r="135" spans="1:14" s="2" customFormat="1" x14ac:dyDescent="0.25">
      <c r="A135" s="59"/>
      <c r="B135" s="1403" t="s">
        <v>39</v>
      </c>
      <c r="C135" s="1390" t="s">
        <v>40</v>
      </c>
      <c r="D135" s="1390"/>
      <c r="E135" s="1403" t="s">
        <v>4</v>
      </c>
      <c r="F135" s="1390" t="str">
        <f>0.75&amp;" . "&amp;ROUND(K141,2)</f>
        <v>0,75 . 451812,74</v>
      </c>
      <c r="G135" s="1390"/>
      <c r="H135" s="1390"/>
      <c r="I135" s="1390"/>
      <c r="J135" s="1403" t="s">
        <v>4</v>
      </c>
      <c r="K135" s="1417">
        <f>(0.75*K141)/(12*(K143*K145+(K147*K149)))</f>
        <v>2.9710355220089787E-2</v>
      </c>
    </row>
    <row r="136" spans="1:14" s="2" customFormat="1" x14ac:dyDescent="0.25">
      <c r="A136" s="59"/>
      <c r="B136" s="1403"/>
      <c r="C136" s="1393" t="s">
        <v>223</v>
      </c>
      <c r="D136" s="1393"/>
      <c r="E136" s="1403"/>
      <c r="F136" s="1402" t="str">
        <f>12&amp;" . "&amp;"("&amp;ROUND(K143,4)&amp;" . "&amp;ROUND(K145,4)&amp;" + "&amp;ROUND(K147,4)&amp;" . "&amp;ROUND(K149,4)&amp;")"</f>
        <v>12 . (0,4207 . 950453 + 0,5793 . 950453)</v>
      </c>
      <c r="G136" s="1402"/>
      <c r="H136" s="1402"/>
      <c r="I136" s="1402"/>
      <c r="J136" s="1403"/>
      <c r="K136" s="1417"/>
      <c r="N136" s="13"/>
    </row>
    <row r="139" spans="1:14" x14ac:dyDescent="0.25">
      <c r="B139" s="8" t="s">
        <v>5</v>
      </c>
    </row>
    <row r="141" spans="1:14" x14ac:dyDescent="0.25">
      <c r="B141" s="4" t="s">
        <v>41</v>
      </c>
      <c r="C141" s="8" t="s">
        <v>225</v>
      </c>
      <c r="K141" s="108">
        <f>+'Hoja Llave'!J5*O5</f>
        <v>451812.74</v>
      </c>
    </row>
    <row r="142" spans="1:14" x14ac:dyDescent="0.25">
      <c r="B142" s="4"/>
    </row>
    <row r="143" spans="1:14" x14ac:dyDescent="0.25">
      <c r="B143" s="4" t="s">
        <v>193</v>
      </c>
      <c r="C143" s="8" t="s">
        <v>194</v>
      </c>
      <c r="K143" s="10">
        <f>+'Hoja Llave'!J41</f>
        <v>0.42070000000000002</v>
      </c>
    </row>
    <row r="144" spans="1:14" x14ac:dyDescent="0.25">
      <c r="B144" s="4"/>
    </row>
    <row r="145" spans="1:15" x14ac:dyDescent="0.25">
      <c r="B145" s="4" t="s">
        <v>42</v>
      </c>
      <c r="C145" s="8" t="s">
        <v>226</v>
      </c>
      <c r="K145" s="72">
        <f>+'Hoja Llave'!J32*O5</f>
        <v>950453</v>
      </c>
    </row>
    <row r="146" spans="1:15" x14ac:dyDescent="0.25">
      <c r="B146" s="4"/>
    </row>
    <row r="147" spans="1:15" x14ac:dyDescent="0.25">
      <c r="B147" s="4" t="s">
        <v>203</v>
      </c>
      <c r="C147" s="8" t="s">
        <v>206</v>
      </c>
      <c r="K147" s="10">
        <f>+'Hoja Llave'!J42</f>
        <v>0.57930000000000004</v>
      </c>
    </row>
    <row r="148" spans="1:15" x14ac:dyDescent="0.25">
      <c r="B148" s="4"/>
    </row>
    <row r="149" spans="1:15" x14ac:dyDescent="0.25">
      <c r="B149" s="4" t="s">
        <v>224</v>
      </c>
      <c r="C149" s="8" t="s">
        <v>227</v>
      </c>
      <c r="K149" s="72">
        <f>+'Hoja Llave'!J48*O5</f>
        <v>950453</v>
      </c>
    </row>
    <row r="150" spans="1:15" x14ac:dyDescent="0.25">
      <c r="B150" s="4"/>
    </row>
    <row r="151" spans="1:15" x14ac:dyDescent="0.25">
      <c r="B151" s="2" t="s">
        <v>43</v>
      </c>
    </row>
    <row r="153" spans="1:15" s="2" customFormat="1" x14ac:dyDescent="0.25">
      <c r="A153" s="59"/>
      <c r="B153" s="4" t="s">
        <v>44</v>
      </c>
      <c r="C153" s="1393" t="s">
        <v>45</v>
      </c>
      <c r="D153" s="1393"/>
      <c r="E153" s="4" t="s">
        <v>4</v>
      </c>
      <c r="F153" s="1393" t="str">
        <f>+ROUND(K135,4)&amp;" . "&amp;"("&amp;ROUND(N44,4)&amp;" + "&amp;ROUND(N91,4)&amp;")"</f>
        <v>0,0297 . (186,3615 + 16,0873)</v>
      </c>
      <c r="G153" s="1393"/>
      <c r="H153" s="1393"/>
      <c r="I153" s="1393"/>
      <c r="J153" s="4" t="s">
        <v>4</v>
      </c>
      <c r="K153" s="13"/>
      <c r="N153" s="80">
        <f>+K135*(N44+N96)</f>
        <v>6.9476448824648447</v>
      </c>
      <c r="O153" s="2" t="e">
        <f>+N153/#REF!-1</f>
        <v>#REF!</v>
      </c>
    </row>
    <row r="154" spans="1:15" s="2" customFormat="1" x14ac:dyDescent="0.25">
      <c r="A154" s="59"/>
      <c r="B154" s="4"/>
      <c r="C154" s="4"/>
      <c r="D154" s="4"/>
      <c r="E154" s="4"/>
      <c r="F154" s="4"/>
      <c r="G154" s="4"/>
      <c r="H154" s="4"/>
      <c r="I154" s="4"/>
      <c r="J154" s="4"/>
      <c r="K154" s="13"/>
      <c r="N154" s="13"/>
    </row>
    <row r="156" spans="1:15" x14ac:dyDescent="0.25">
      <c r="B156" s="5" t="s">
        <v>46</v>
      </c>
      <c r="C156" s="6" t="s">
        <v>228</v>
      </c>
      <c r="D156" s="6"/>
      <c r="E156" s="6"/>
      <c r="F156" s="6"/>
      <c r="G156" s="7" t="s">
        <v>53</v>
      </c>
      <c r="H156" s="6"/>
      <c r="I156" s="6"/>
      <c r="J156" s="6"/>
      <c r="K156" s="18"/>
      <c r="L156" s="6"/>
      <c r="M156" s="6"/>
      <c r="N156" s="11"/>
    </row>
    <row r="158" spans="1:15" ht="39.6" x14ac:dyDescent="0.25">
      <c r="A158" s="35" t="s">
        <v>411</v>
      </c>
      <c r="C158" s="8" t="s">
        <v>370</v>
      </c>
      <c r="H158" s="9">
        <v>0.18</v>
      </c>
    </row>
    <row r="160" spans="1:15" x14ac:dyDescent="0.25">
      <c r="B160" s="2" t="s">
        <v>229</v>
      </c>
      <c r="C160" s="1393" t="s">
        <v>371</v>
      </c>
      <c r="D160" s="1393"/>
      <c r="E160" s="4" t="s">
        <v>4</v>
      </c>
      <c r="F160" s="1393" t="str">
        <f>+H158&amp;" . "&amp;"("&amp;ROUND(N44,4)&amp;" + "&amp;ROUND(N91,4)&amp;")"</f>
        <v>0,18 . (186,3615 + 16,0873)</v>
      </c>
      <c r="G160" s="1393"/>
      <c r="H160" s="1393"/>
      <c r="I160" s="1393"/>
      <c r="J160" s="4" t="s">
        <v>4</v>
      </c>
      <c r="K160" s="13"/>
      <c r="L160" s="2"/>
      <c r="M160" s="2"/>
      <c r="N160" s="80">
        <f>+H158*(N44+N91)</f>
        <v>36.440777326062673</v>
      </c>
      <c r="O160" s="2" t="e">
        <f>+N160/#REF!-1</f>
        <v>#REF!</v>
      </c>
    </row>
    <row r="162" spans="1:15" s="2" customFormat="1" x14ac:dyDescent="0.25">
      <c r="A162" s="59"/>
      <c r="B162" s="5" t="s">
        <v>230</v>
      </c>
      <c r="C162" s="6" t="s">
        <v>47</v>
      </c>
      <c r="D162" s="6"/>
      <c r="E162" s="6"/>
      <c r="F162" s="6"/>
      <c r="G162" s="7" t="s">
        <v>231</v>
      </c>
      <c r="H162" s="6"/>
      <c r="I162" s="6"/>
      <c r="J162" s="6"/>
      <c r="K162" s="18"/>
      <c r="L162" s="6"/>
      <c r="M162" s="6"/>
      <c r="N162" s="81">
        <f>+N164</f>
        <v>1.8855656558273213</v>
      </c>
      <c r="O162" s="2" t="e">
        <f>+N162/#REF!-1</f>
        <v>#REF!</v>
      </c>
    </row>
    <row r="164" spans="1:15" s="2" customFormat="1" x14ac:dyDescent="0.25">
      <c r="A164" s="59"/>
      <c r="B164" s="1403" t="s">
        <v>232</v>
      </c>
      <c r="C164" s="1390" t="s">
        <v>48</v>
      </c>
      <c r="D164" s="1390"/>
      <c r="E164" s="1403" t="s">
        <v>4</v>
      </c>
      <c r="F164" s="1416">
        <f>+K167</f>
        <v>188544.8</v>
      </c>
      <c r="G164" s="1416"/>
      <c r="H164" s="1416"/>
      <c r="I164" s="1416"/>
      <c r="J164" s="1403" t="s">
        <v>4</v>
      </c>
      <c r="K164" s="13"/>
      <c r="N164" s="13">
        <f>+K167/((K169*K173)+(K171*K175))</f>
        <v>1.8855656558273213</v>
      </c>
    </row>
    <row r="165" spans="1:15" s="2" customFormat="1" x14ac:dyDescent="0.25">
      <c r="A165" s="59"/>
      <c r="B165" s="1403"/>
      <c r="C165" s="1393" t="s">
        <v>233</v>
      </c>
      <c r="D165" s="1393"/>
      <c r="E165" s="1403"/>
      <c r="F165" s="1396" t="str">
        <f>+"("&amp;ROUND(K169,4)&amp;" . "&amp;ROUND(K173,4)&amp;")"&amp;" + "&amp;"("&amp;ROUND(K171,4)&amp;" . "&amp;ROUND(K175,4)&amp;")"</f>
        <v>(0,4207 . 77614,757) + (0,5793 . 116245,869)</v>
      </c>
      <c r="G165" s="1396"/>
      <c r="H165" s="1396"/>
      <c r="I165" s="1396"/>
      <c r="J165" s="1403"/>
      <c r="K165" s="13"/>
      <c r="N165" s="13"/>
    </row>
    <row r="167" spans="1:15" x14ac:dyDescent="0.25">
      <c r="B167" s="4" t="s">
        <v>48</v>
      </c>
      <c r="C167" t="s">
        <v>49</v>
      </c>
      <c r="K167" s="108">
        <f>+'Hoja Llave'!J6*O5</f>
        <v>188544.8</v>
      </c>
    </row>
    <row r="168" spans="1:15" x14ac:dyDescent="0.25">
      <c r="B168" s="4"/>
    </row>
    <row r="169" spans="1:15" x14ac:dyDescent="0.25">
      <c r="B169" s="4" t="s">
        <v>193</v>
      </c>
      <c r="C169" s="8" t="s">
        <v>194</v>
      </c>
      <c r="K169" s="10">
        <f>+'Hoja Llave'!J41</f>
        <v>0.42070000000000002</v>
      </c>
    </row>
    <row r="170" spans="1:15" x14ac:dyDescent="0.25">
      <c r="B170" s="4"/>
    </row>
    <row r="171" spans="1:15" x14ac:dyDescent="0.25">
      <c r="B171" s="4" t="s">
        <v>203</v>
      </c>
      <c r="C171" s="8" t="s">
        <v>206</v>
      </c>
      <c r="K171" s="10">
        <f>+'Hoja Llave'!J42</f>
        <v>0.57930000000000004</v>
      </c>
    </row>
    <row r="172" spans="1:15" x14ac:dyDescent="0.25">
      <c r="B172" s="4"/>
    </row>
    <row r="173" spans="1:15" x14ac:dyDescent="0.25">
      <c r="B173" s="4" t="s">
        <v>333</v>
      </c>
      <c r="C173" s="8" t="s">
        <v>235</v>
      </c>
      <c r="K173" s="74">
        <f>+'Hoja Llave'!J33</f>
        <v>77614.756994982657</v>
      </c>
    </row>
    <row r="174" spans="1:15" x14ac:dyDescent="0.25">
      <c r="B174" s="4"/>
    </row>
    <row r="175" spans="1:15" x14ac:dyDescent="0.25">
      <c r="B175" s="4" t="s">
        <v>234</v>
      </c>
      <c r="C175" s="8" t="s">
        <v>236</v>
      </c>
      <c r="K175" s="10">
        <f>+'Hoja Llave'!J34</f>
        <v>116245.86900780138</v>
      </c>
    </row>
    <row r="176" spans="1:15" x14ac:dyDescent="0.25">
      <c r="B176" s="4"/>
      <c r="C176" s="8"/>
    </row>
    <row r="177" spans="1:15" x14ac:dyDescent="0.25">
      <c r="B177" s="4"/>
    </row>
    <row r="178" spans="1:15" s="2" customFormat="1" x14ac:dyDescent="0.25">
      <c r="A178" s="59"/>
      <c r="B178" s="5" t="s">
        <v>51</v>
      </c>
      <c r="C178" s="6"/>
      <c r="D178" s="6"/>
      <c r="E178" s="6"/>
      <c r="F178" s="6"/>
      <c r="G178" s="7"/>
      <c r="H178" s="6"/>
      <c r="I178" s="6"/>
      <c r="J178" s="6"/>
      <c r="K178" s="18"/>
      <c r="L178" s="6"/>
      <c r="M178" s="6"/>
      <c r="N178" s="11"/>
    </row>
    <row r="181" spans="1:15" s="2" customFormat="1" ht="15.6" x14ac:dyDescent="0.3">
      <c r="A181" s="59"/>
      <c r="B181" s="2" t="s">
        <v>395</v>
      </c>
      <c r="F181" s="1410" t="str">
        <f>+ROUND(N44,4)&amp;" + "&amp;ROUND(N91,4)&amp;" + "&amp;ROUND(N96,4)&amp;" + "&amp;ROUND(N110,4)&amp;" + "&amp;ROUND(N153,4)&amp;" + "&amp;ROUND(N160,4)&amp;" + "&amp;ROUND(N164,4)</f>
        <v>186,3615 + 16,0873 + 47,4844 + 67,5549 + 6,9476 + 36,4408 + 1,8856</v>
      </c>
      <c r="G181" s="1410"/>
      <c r="H181" s="1410"/>
      <c r="I181" s="1410"/>
      <c r="J181" s="1410"/>
      <c r="K181" s="50" t="s">
        <v>4</v>
      </c>
      <c r="N181" s="90">
        <f>+N44+N91+N96+N110+N153+N164+N160+N98+N54</f>
        <v>363.14396506739058</v>
      </c>
      <c r="O181" s="2" t="e">
        <f>+N181/#REF!-1</f>
        <v>#REF!</v>
      </c>
    </row>
    <row r="184" spans="1:15" s="2" customFormat="1" x14ac:dyDescent="0.25">
      <c r="A184" s="59"/>
      <c r="B184" s="5" t="s">
        <v>54</v>
      </c>
      <c r="C184" s="6" t="s">
        <v>55</v>
      </c>
      <c r="D184" s="6"/>
      <c r="E184" s="6"/>
      <c r="F184" s="6"/>
      <c r="G184" s="7" t="s">
        <v>56</v>
      </c>
      <c r="H184" s="6"/>
      <c r="I184" s="6"/>
      <c r="J184" s="6"/>
      <c r="K184" s="18"/>
      <c r="L184" s="6"/>
      <c r="M184" s="6"/>
      <c r="N184" s="11"/>
    </row>
    <row r="185" spans="1:15" s="42" customFormat="1" x14ac:dyDescent="0.25">
      <c r="A185" s="115"/>
      <c r="B185" s="39"/>
      <c r="C185" s="39"/>
      <c r="D185" s="39"/>
      <c r="E185" s="39"/>
      <c r="F185" s="39"/>
      <c r="G185" s="40"/>
      <c r="H185" s="39"/>
      <c r="I185" s="39"/>
      <c r="J185" s="39"/>
      <c r="K185" s="41"/>
      <c r="L185" s="39"/>
      <c r="M185" s="39"/>
      <c r="N185" s="41"/>
    </row>
    <row r="186" spans="1:15" s="42" customFormat="1" x14ac:dyDescent="0.25">
      <c r="A186" s="115"/>
      <c r="B186" s="39"/>
      <c r="C186" s="43" t="s">
        <v>239</v>
      </c>
      <c r="D186" s="39"/>
      <c r="E186" s="39"/>
      <c r="F186" s="39"/>
      <c r="G186" s="40"/>
      <c r="H186" s="39"/>
      <c r="I186" s="39"/>
      <c r="J186" s="39"/>
      <c r="K186" s="41"/>
      <c r="L186" s="39"/>
      <c r="M186" s="39"/>
      <c r="N186" s="41"/>
    </row>
    <row r="187" spans="1:15" s="42" customFormat="1" x14ac:dyDescent="0.25">
      <c r="A187" s="115"/>
      <c r="B187" s="39"/>
      <c r="C187" s="39"/>
      <c r="D187" s="39"/>
      <c r="E187" s="39"/>
      <c r="F187" s="39"/>
      <c r="G187" s="40"/>
      <c r="H187" s="39"/>
      <c r="I187" s="39"/>
      <c r="J187" s="39"/>
      <c r="K187" s="41"/>
      <c r="L187" s="39"/>
      <c r="M187" s="39"/>
      <c r="N187" s="41"/>
    </row>
    <row r="188" spans="1:15" s="42" customFormat="1" x14ac:dyDescent="0.25">
      <c r="A188" s="115"/>
      <c r="B188" s="40" t="s">
        <v>240</v>
      </c>
      <c r="C188" s="43" t="s">
        <v>244</v>
      </c>
      <c r="D188" s="39"/>
      <c r="E188" s="39"/>
      <c r="F188" s="39"/>
      <c r="G188" s="40"/>
      <c r="H188" s="39"/>
      <c r="I188" s="39"/>
      <c r="J188" s="39"/>
      <c r="K188" s="41"/>
      <c r="L188" s="39"/>
      <c r="M188" s="39"/>
      <c r="N188" s="41"/>
    </row>
    <row r="189" spans="1:15" s="42" customFormat="1" x14ac:dyDescent="0.25">
      <c r="A189" s="115"/>
      <c r="B189" s="40"/>
      <c r="C189" s="43"/>
      <c r="D189" s="39"/>
      <c r="E189" s="39"/>
      <c r="F189" s="39"/>
      <c r="G189" s="40"/>
      <c r="H189" s="39"/>
      <c r="I189" s="39"/>
      <c r="J189" s="39"/>
      <c r="K189" s="41"/>
      <c r="L189" s="39"/>
      <c r="M189" s="39"/>
      <c r="N189" s="41"/>
    </row>
    <row r="190" spans="1:15" s="42" customFormat="1" x14ac:dyDescent="0.25">
      <c r="A190" s="115"/>
      <c r="B190" s="40" t="s">
        <v>241</v>
      </c>
      <c r="C190" s="43" t="s">
        <v>243</v>
      </c>
      <c r="D190" s="39"/>
      <c r="E190" s="39"/>
      <c r="F190" s="39"/>
      <c r="G190" s="40"/>
      <c r="H190" s="39"/>
      <c r="I190" s="39"/>
      <c r="J190" s="39"/>
      <c r="K190" s="41"/>
      <c r="L190" s="39"/>
      <c r="M190" s="39"/>
      <c r="N190" s="41"/>
    </row>
    <row r="191" spans="1:15" s="42" customFormat="1" x14ac:dyDescent="0.25">
      <c r="A191" s="115"/>
      <c r="B191" s="40"/>
      <c r="C191" s="43"/>
      <c r="D191" s="39"/>
      <c r="E191" s="39"/>
      <c r="F191" s="39"/>
      <c r="G191" s="40"/>
      <c r="H191" s="39"/>
      <c r="I191" s="39"/>
      <c r="J191" s="39"/>
      <c r="K191" s="41"/>
      <c r="L191" s="39"/>
      <c r="M191" s="39"/>
      <c r="N191" s="41"/>
    </row>
    <row r="192" spans="1:15" s="42" customFormat="1" x14ac:dyDescent="0.25">
      <c r="A192" s="115"/>
      <c r="B192" s="40" t="s">
        <v>242</v>
      </c>
      <c r="C192" s="43" t="s">
        <v>245</v>
      </c>
      <c r="D192" s="39"/>
      <c r="E192" s="39"/>
      <c r="F192" s="39"/>
      <c r="G192" s="40"/>
      <c r="H192" s="39"/>
      <c r="I192" s="39"/>
      <c r="J192" s="39"/>
      <c r="K192" s="41"/>
      <c r="L192" s="39"/>
      <c r="M192" s="39"/>
      <c r="N192" s="41"/>
    </row>
    <row r="193" spans="1:14" s="42" customFormat="1" x14ac:dyDescent="0.25">
      <c r="A193" s="115"/>
      <c r="B193" s="39"/>
      <c r="C193" s="39"/>
      <c r="D193" s="39"/>
      <c r="E193" s="39"/>
      <c r="F193" s="39"/>
      <c r="G193" s="40"/>
      <c r="H193" s="39"/>
      <c r="I193" s="39"/>
      <c r="J193" s="39"/>
      <c r="K193" s="41"/>
      <c r="L193" s="39"/>
      <c r="M193" s="39"/>
      <c r="N193" s="41"/>
    </row>
    <row r="194" spans="1:14" s="42" customFormat="1" x14ac:dyDescent="0.25">
      <c r="A194" s="115"/>
      <c r="B194" s="39"/>
      <c r="C194" s="39" t="s">
        <v>246</v>
      </c>
      <c r="D194" s="39"/>
      <c r="E194" s="39"/>
      <c r="F194" s="39"/>
      <c r="G194" s="40"/>
      <c r="H194" s="39"/>
      <c r="I194" s="39"/>
      <c r="J194" s="39"/>
      <c r="K194" s="41"/>
      <c r="L194" s="39"/>
      <c r="M194" s="39"/>
      <c r="N194" s="41"/>
    </row>
    <row r="195" spans="1:14" s="42" customFormat="1" x14ac:dyDescent="0.25">
      <c r="A195" s="115"/>
      <c r="B195" s="39"/>
      <c r="C195" s="39"/>
      <c r="D195" s="39"/>
      <c r="E195" s="39"/>
      <c r="F195" s="39"/>
      <c r="G195" s="40"/>
      <c r="H195" s="39"/>
      <c r="I195" s="39"/>
      <c r="J195" s="39"/>
      <c r="K195" s="41"/>
      <c r="L195" s="39"/>
      <c r="M195" s="39"/>
      <c r="N195" s="41"/>
    </row>
    <row r="196" spans="1:14" s="42" customFormat="1" x14ac:dyDescent="0.25">
      <c r="A196" s="115"/>
      <c r="B196" s="39"/>
      <c r="C196" s="39" t="s">
        <v>247</v>
      </c>
      <c r="D196" s="39"/>
      <c r="E196" s="39"/>
      <c r="F196" s="39"/>
      <c r="G196" s="40"/>
      <c r="H196" s="39"/>
      <c r="I196" s="39"/>
      <c r="J196" s="39"/>
      <c r="K196" s="41"/>
      <c r="L196" s="39"/>
      <c r="M196" s="39"/>
      <c r="N196" s="41"/>
    </row>
    <row r="197" spans="1:14" s="42" customFormat="1" x14ac:dyDescent="0.25">
      <c r="A197" s="115"/>
      <c r="B197" s="40"/>
      <c r="C197" s="43"/>
      <c r="D197" s="39"/>
      <c r="E197" s="39"/>
      <c r="F197" s="39"/>
      <c r="G197" s="40"/>
      <c r="H197" s="39"/>
      <c r="I197" s="39"/>
      <c r="J197" s="39"/>
      <c r="K197" s="41"/>
      <c r="L197" s="39"/>
      <c r="M197" s="39"/>
      <c r="N197" s="41"/>
    </row>
    <row r="198" spans="1:14" s="42" customFormat="1" x14ac:dyDescent="0.25">
      <c r="A198" s="115" t="s">
        <v>404</v>
      </c>
      <c r="B198" s="44">
        <v>0.7</v>
      </c>
      <c r="C198" s="43" t="s">
        <v>248</v>
      </c>
      <c r="D198" s="39"/>
      <c r="E198" s="39"/>
      <c r="F198" s="39"/>
      <c r="G198" s="40"/>
      <c r="H198" s="39"/>
      <c r="I198" s="39"/>
      <c r="J198" s="39"/>
      <c r="K198" s="41"/>
      <c r="L198" s="39"/>
      <c r="M198" s="39"/>
      <c r="N198" s="41"/>
    </row>
    <row r="199" spans="1:14" s="42" customFormat="1" x14ac:dyDescent="0.25">
      <c r="B199" s="40"/>
      <c r="C199" s="43"/>
      <c r="D199" s="39"/>
      <c r="E199" s="39"/>
      <c r="F199" s="39"/>
      <c r="G199" s="40"/>
      <c r="H199" s="39"/>
      <c r="I199" s="39"/>
      <c r="J199" s="39"/>
      <c r="K199" s="41"/>
      <c r="L199" s="39"/>
      <c r="M199" s="39"/>
      <c r="N199" s="41"/>
    </row>
    <row r="200" spans="1:14" s="42" customFormat="1" x14ac:dyDescent="0.25">
      <c r="A200" s="115" t="s">
        <v>404</v>
      </c>
      <c r="B200" s="44">
        <v>0.3</v>
      </c>
      <c r="C200" s="43" t="s">
        <v>249</v>
      </c>
      <c r="D200" s="39"/>
      <c r="E200" s="39"/>
      <c r="F200" s="39"/>
      <c r="G200" s="40"/>
      <c r="H200" s="39"/>
      <c r="I200" s="39"/>
      <c r="J200" s="39"/>
      <c r="K200" s="41"/>
      <c r="L200" s="39"/>
      <c r="M200" s="39"/>
      <c r="N200" s="41"/>
    </row>
    <row r="201" spans="1:14" s="42" customFormat="1" x14ac:dyDescent="0.25">
      <c r="A201" s="115"/>
      <c r="B201" s="40"/>
      <c r="C201" s="39"/>
      <c r="D201" s="39"/>
      <c r="E201" s="39"/>
      <c r="F201" s="39"/>
      <c r="G201" s="40"/>
      <c r="H201" s="39"/>
      <c r="I201" s="39"/>
      <c r="J201" s="39"/>
      <c r="K201" s="41"/>
      <c r="L201" s="39"/>
      <c r="M201" s="39"/>
      <c r="N201" s="41"/>
    </row>
    <row r="202" spans="1:14" s="42" customFormat="1" x14ac:dyDescent="0.25">
      <c r="A202" s="115"/>
      <c r="B202" s="40"/>
      <c r="C202" s="39" t="s">
        <v>250</v>
      </c>
      <c r="D202" s="39"/>
      <c r="E202" s="39"/>
      <c r="F202" s="39"/>
      <c r="G202" s="40"/>
      <c r="H202" s="39"/>
      <c r="I202" s="39"/>
      <c r="J202" s="39"/>
      <c r="K202" s="41"/>
      <c r="L202" s="39"/>
      <c r="M202" s="39"/>
      <c r="N202" s="41"/>
    </row>
    <row r="203" spans="1:14" s="42" customFormat="1" x14ac:dyDescent="0.25">
      <c r="A203" s="115"/>
      <c r="B203" s="40"/>
      <c r="C203" s="39"/>
      <c r="D203" s="39"/>
      <c r="E203" s="39"/>
      <c r="F203" s="39"/>
      <c r="G203" s="40"/>
      <c r="H203" s="39"/>
      <c r="I203" s="39"/>
      <c r="J203" s="39"/>
      <c r="K203" s="41"/>
      <c r="L203" s="39"/>
      <c r="M203" s="39"/>
      <c r="N203" s="41"/>
    </row>
    <row r="204" spans="1:14" s="42" customFormat="1" x14ac:dyDescent="0.25">
      <c r="A204" s="115" t="s">
        <v>404</v>
      </c>
      <c r="B204" s="44">
        <v>0.15</v>
      </c>
      <c r="C204" s="43" t="s">
        <v>248</v>
      </c>
      <c r="D204" s="39"/>
      <c r="E204" s="39"/>
      <c r="F204" s="39"/>
      <c r="G204" s="40"/>
      <c r="H204" s="39"/>
      <c r="I204" s="39"/>
      <c r="J204" s="39"/>
      <c r="K204" s="41"/>
      <c r="L204" s="39"/>
      <c r="M204" s="39"/>
      <c r="N204" s="41"/>
    </row>
    <row r="205" spans="1:14" s="42" customFormat="1" x14ac:dyDescent="0.25">
      <c r="A205" s="115"/>
      <c r="B205" s="40"/>
      <c r="C205" s="43"/>
      <c r="D205" s="39"/>
      <c r="E205" s="39"/>
      <c r="F205" s="39"/>
      <c r="G205" s="40"/>
      <c r="H205" s="39"/>
      <c r="I205" s="39"/>
      <c r="J205" s="39"/>
      <c r="K205" s="41"/>
      <c r="L205" s="39"/>
      <c r="M205" s="39"/>
      <c r="N205" s="41"/>
    </row>
    <row r="206" spans="1:14" s="42" customFormat="1" x14ac:dyDescent="0.25">
      <c r="A206" s="115" t="s">
        <v>404</v>
      </c>
      <c r="B206" s="44">
        <v>0.45</v>
      </c>
      <c r="C206" s="43" t="s">
        <v>249</v>
      </c>
      <c r="D206" s="39"/>
      <c r="E206" s="39"/>
      <c r="F206" s="39"/>
      <c r="G206" s="40"/>
      <c r="H206" s="39"/>
      <c r="I206" s="39"/>
      <c r="J206" s="39"/>
      <c r="K206" s="41"/>
      <c r="L206" s="39"/>
      <c r="M206" s="39"/>
      <c r="N206" s="41"/>
    </row>
    <row r="207" spans="1:14" s="42" customFormat="1" x14ac:dyDescent="0.25">
      <c r="A207" s="115"/>
      <c r="B207" s="40"/>
      <c r="C207" s="43"/>
      <c r="D207" s="39"/>
      <c r="E207" s="39"/>
      <c r="F207" s="39"/>
      <c r="G207" s="40"/>
      <c r="H207" s="39"/>
      <c r="I207" s="39"/>
      <c r="J207" s="39"/>
      <c r="K207" s="41"/>
      <c r="L207" s="39"/>
      <c r="M207" s="39"/>
      <c r="N207" s="41"/>
    </row>
    <row r="208" spans="1:14" s="42" customFormat="1" x14ac:dyDescent="0.25">
      <c r="A208" s="115" t="s">
        <v>404</v>
      </c>
      <c r="B208" s="44">
        <v>0.4</v>
      </c>
      <c r="C208" s="43" t="s">
        <v>251</v>
      </c>
      <c r="D208" s="39"/>
      <c r="E208" s="39"/>
      <c r="F208" s="39"/>
      <c r="G208" s="40"/>
      <c r="H208" s="39"/>
      <c r="I208" s="39"/>
      <c r="J208" s="39"/>
      <c r="K208" s="41"/>
      <c r="L208" s="39"/>
      <c r="M208" s="39"/>
      <c r="N208" s="41"/>
    </row>
    <row r="209" spans="1:15" s="42" customFormat="1" x14ac:dyDescent="0.25">
      <c r="A209" s="115"/>
      <c r="B209" s="44"/>
      <c r="C209" s="43"/>
      <c r="D209" s="39"/>
      <c r="E209" s="39"/>
      <c r="F209" s="39"/>
      <c r="G209" s="40"/>
      <c r="H209" s="39"/>
      <c r="I209" s="39"/>
      <c r="J209" s="39"/>
      <c r="K209" s="41"/>
      <c r="L209" s="39"/>
      <c r="M209" s="39"/>
      <c r="N209" s="41"/>
    </row>
    <row r="211" spans="1:15" s="2" customFormat="1" x14ac:dyDescent="0.25">
      <c r="A211" s="59"/>
      <c r="B211" s="5" t="s">
        <v>57</v>
      </c>
      <c r="C211" s="6" t="s">
        <v>58</v>
      </c>
      <c r="D211" s="6"/>
      <c r="E211" s="6"/>
      <c r="F211" s="6"/>
      <c r="G211" s="7" t="s">
        <v>80</v>
      </c>
      <c r="H211" s="6"/>
      <c r="I211" s="6"/>
      <c r="J211" s="6"/>
      <c r="K211" s="18"/>
      <c r="L211" s="6"/>
      <c r="M211" s="6"/>
      <c r="N211" s="76">
        <f>+N241</f>
        <v>253.00211868131868</v>
      </c>
      <c r="O211" s="2" t="e">
        <f>+N211/#REF!-1</f>
        <v>#REF!</v>
      </c>
    </row>
    <row r="213" spans="1:15" s="2" customFormat="1" x14ac:dyDescent="0.25">
      <c r="A213" s="59"/>
      <c r="B213" s="1403" t="s">
        <v>252</v>
      </c>
      <c r="C213" s="1411" t="s">
        <v>253</v>
      </c>
      <c r="D213" s="1411"/>
      <c r="E213" s="1403" t="s">
        <v>4</v>
      </c>
      <c r="F213" s="1412" t="str">
        <f>+K222&amp;" . "&amp;"("&amp;"0,70"&amp;" / "&amp;K220&amp;" + "&amp;"0,30"&amp;" / "&amp;K224&amp;")"&amp;" . "&amp;ROUND(K218,4)</f>
        <v>0,4207 . (0,70 / 3,5 + 0,30 / 3,5) . 870</v>
      </c>
      <c r="G213" s="1412"/>
      <c r="H213" s="1412"/>
      <c r="I213" s="1412"/>
      <c r="J213" s="1403" t="s">
        <v>4</v>
      </c>
      <c r="K213" s="80">
        <f>+K222*((0.7/K220)+(0.3/K224))*K218</f>
        <v>104.574</v>
      </c>
    </row>
    <row r="214" spans="1:15" s="2" customFormat="1" x14ac:dyDescent="0.25">
      <c r="A214" s="59"/>
      <c r="B214" s="1403"/>
      <c r="C214" s="1414"/>
      <c r="D214" s="1414"/>
      <c r="E214" s="1403"/>
      <c r="F214" s="1415"/>
      <c r="G214" s="1415"/>
      <c r="H214" s="1415"/>
      <c r="I214" s="1415"/>
      <c r="J214" s="1403"/>
      <c r="K214" s="13"/>
      <c r="N214" s="13"/>
    </row>
    <row r="216" spans="1:15" x14ac:dyDescent="0.25">
      <c r="B216" s="8" t="s">
        <v>5</v>
      </c>
    </row>
    <row r="218" spans="1:15" x14ac:dyDescent="0.25">
      <c r="A218" s="35" t="s">
        <v>413</v>
      </c>
      <c r="B218" s="4" t="s">
        <v>254</v>
      </c>
      <c r="C218" s="47" t="s">
        <v>260</v>
      </c>
      <c r="D218" s="19"/>
      <c r="E218" s="19"/>
      <c r="F218" s="19"/>
      <c r="G218" s="46"/>
      <c r="H218" s="19"/>
      <c r="I218" s="19"/>
      <c r="K218" s="72">
        <f>+'Hoja Llave'!J49*O5</f>
        <v>870</v>
      </c>
    </row>
    <row r="219" spans="1:15" x14ac:dyDescent="0.25">
      <c r="B219" s="4"/>
    </row>
    <row r="220" spans="1:15" x14ac:dyDescent="0.25">
      <c r="A220" s="35" t="s">
        <v>416</v>
      </c>
      <c r="B220" s="4" t="s">
        <v>177</v>
      </c>
      <c r="C220" s="8" t="s">
        <v>256</v>
      </c>
      <c r="K220" s="72">
        <f>+'Hoja Llave'!J9</f>
        <v>3.5</v>
      </c>
    </row>
    <row r="221" spans="1:15" x14ac:dyDescent="0.25">
      <c r="B221" s="4"/>
    </row>
    <row r="222" spans="1:15" x14ac:dyDescent="0.25">
      <c r="B222" s="4" t="s">
        <v>193</v>
      </c>
      <c r="C222" s="8" t="s">
        <v>194</v>
      </c>
      <c r="K222" s="10">
        <f>+'Hoja Llave'!J41</f>
        <v>0.42070000000000002</v>
      </c>
    </row>
    <row r="223" spans="1:15" x14ac:dyDescent="0.25">
      <c r="B223" s="4"/>
    </row>
    <row r="224" spans="1:15" x14ac:dyDescent="0.25">
      <c r="A224" s="35" t="s">
        <v>416</v>
      </c>
      <c r="B224" s="4" t="s">
        <v>255</v>
      </c>
      <c r="C224" s="8" t="s">
        <v>257</v>
      </c>
      <c r="K224" s="72">
        <f>+'Hoja Llave'!J10</f>
        <v>3.5</v>
      </c>
    </row>
    <row r="225" spans="1:11" x14ac:dyDescent="0.25">
      <c r="B225" s="4"/>
    </row>
    <row r="226" spans="1:11" x14ac:dyDescent="0.25">
      <c r="B226" s="4"/>
    </row>
    <row r="227" spans="1:11" x14ac:dyDescent="0.25">
      <c r="B227" s="4" t="s">
        <v>258</v>
      </c>
      <c r="C227" s="2" t="s">
        <v>360</v>
      </c>
      <c r="D227" s="2"/>
      <c r="E227" s="2"/>
      <c r="F227" s="1412" t="str">
        <f>+K235&amp;" . "&amp;"("&amp;"0,15"&amp;" / "&amp;K233&amp;" + "&amp;"0,45"&amp;" / "&amp;K237&amp;" + "&amp;"0,4"&amp;" / "&amp;K239&amp;")"&amp;" . "&amp;K231</f>
        <v>0,5793 . (0,15 / 3,5 + 0,45 / 3,5 + 0,4 / 3,25) . 870</v>
      </c>
      <c r="G227" s="1412"/>
      <c r="H227" s="1412"/>
      <c r="I227" s="1412"/>
      <c r="J227" s="8" t="s">
        <v>4</v>
      </c>
      <c r="K227" s="80">
        <f>+K235*((0.15/K233)+(0.45/K237)+(0.4/K239))*K231</f>
        <v>148.42811868131869</v>
      </c>
    </row>
    <row r="228" spans="1:11" x14ac:dyDescent="0.25">
      <c r="B228" s="4"/>
    </row>
    <row r="229" spans="1:11" x14ac:dyDescent="0.25">
      <c r="B229" s="8" t="s">
        <v>5</v>
      </c>
    </row>
    <row r="231" spans="1:11" x14ac:dyDescent="0.25">
      <c r="A231" s="35" t="s">
        <v>413</v>
      </c>
      <c r="B231" s="4" t="s">
        <v>259</v>
      </c>
      <c r="C231" s="47" t="s">
        <v>261</v>
      </c>
      <c r="D231" s="19"/>
      <c r="K231" s="10">
        <f>+'Hoja Llave'!J50*O5</f>
        <v>870</v>
      </c>
    </row>
    <row r="232" spans="1:11" x14ac:dyDescent="0.25">
      <c r="B232" s="4"/>
    </row>
    <row r="233" spans="1:11" x14ac:dyDescent="0.25">
      <c r="A233" s="35" t="s">
        <v>416</v>
      </c>
      <c r="B233" s="4" t="s">
        <v>177</v>
      </c>
      <c r="C233" s="8" t="s">
        <v>256</v>
      </c>
      <c r="K233" s="10">
        <f>+'Hoja Llave'!J9</f>
        <v>3.5</v>
      </c>
    </row>
    <row r="234" spans="1:11" x14ac:dyDescent="0.25">
      <c r="B234" s="4"/>
    </row>
    <row r="235" spans="1:11" x14ac:dyDescent="0.25">
      <c r="B235" s="4" t="s">
        <v>203</v>
      </c>
      <c r="C235" s="8" t="s">
        <v>206</v>
      </c>
      <c r="K235" s="10">
        <f>+'Hoja Llave'!J42</f>
        <v>0.57930000000000004</v>
      </c>
    </row>
    <row r="236" spans="1:11" x14ac:dyDescent="0.25">
      <c r="B236" s="4"/>
    </row>
    <row r="237" spans="1:11" x14ac:dyDescent="0.25">
      <c r="A237" s="35" t="s">
        <v>416</v>
      </c>
      <c r="B237" s="4" t="s">
        <v>255</v>
      </c>
      <c r="C237" s="8" t="s">
        <v>257</v>
      </c>
      <c r="K237" s="10">
        <f>+'Hoja Llave'!J10</f>
        <v>3.5</v>
      </c>
    </row>
    <row r="238" spans="1:11" x14ac:dyDescent="0.25">
      <c r="B238" s="4"/>
    </row>
    <row r="239" spans="1:11" x14ac:dyDescent="0.25">
      <c r="A239" s="35" t="s">
        <v>416</v>
      </c>
      <c r="B239" s="4" t="s">
        <v>262</v>
      </c>
      <c r="C239" s="8" t="s">
        <v>263</v>
      </c>
      <c r="K239" s="72">
        <f>+'Hoja Llave'!J11</f>
        <v>3.25</v>
      </c>
    </row>
    <row r="240" spans="1:11" x14ac:dyDescent="0.25">
      <c r="B240" s="4"/>
    </row>
    <row r="241" spans="1:15" x14ac:dyDescent="0.25">
      <c r="B241" s="4" t="s">
        <v>264</v>
      </c>
      <c r="C241" s="1393" t="s">
        <v>265</v>
      </c>
      <c r="D241" s="1393"/>
      <c r="E241" s="1393"/>
      <c r="F241" s="4" t="s">
        <v>4</v>
      </c>
      <c r="G241" s="1393" t="str">
        <f>+ROUND(K213,4)&amp;" + "&amp;ROUND(K227,4)</f>
        <v>104,574 + 148,4281</v>
      </c>
      <c r="H241" s="1393"/>
      <c r="I241" s="1393"/>
      <c r="J241" s="1393"/>
      <c r="K241" s="50" t="s">
        <v>4</v>
      </c>
      <c r="L241" s="2"/>
      <c r="M241" s="2"/>
      <c r="N241" s="80">
        <f>+K227+K213</f>
        <v>253.00211868131868</v>
      </c>
    </row>
    <row r="243" spans="1:15" s="2" customFormat="1" x14ac:dyDescent="0.25">
      <c r="A243" s="59"/>
      <c r="B243" s="5" t="s">
        <v>59</v>
      </c>
      <c r="C243" s="6" t="s">
        <v>157</v>
      </c>
      <c r="D243" s="6"/>
      <c r="E243" s="6"/>
      <c r="F243" s="6"/>
      <c r="G243" s="7" t="s">
        <v>166</v>
      </c>
      <c r="H243" s="6"/>
      <c r="I243" s="6"/>
      <c r="J243" s="6"/>
      <c r="K243" s="18"/>
      <c r="L243" s="6"/>
      <c r="M243" s="6"/>
      <c r="N243" s="76">
        <f>+N249</f>
        <v>14.828098748984999</v>
      </c>
      <c r="O243" s="2" t="e">
        <f>+N243/#REF!-1</f>
        <v>#REF!</v>
      </c>
    </row>
    <row r="245" spans="1:15" ht="39.6" x14ac:dyDescent="0.25">
      <c r="A245" s="35" t="s">
        <v>417</v>
      </c>
      <c r="C245" s="8" t="s">
        <v>266</v>
      </c>
    </row>
    <row r="246" spans="1:15" x14ac:dyDescent="0.25">
      <c r="C246" s="8" t="s">
        <v>368</v>
      </c>
    </row>
    <row r="247" spans="1:15" x14ac:dyDescent="0.25">
      <c r="C247" s="8" t="s">
        <v>267</v>
      </c>
    </row>
    <row r="249" spans="1:15" x14ac:dyDescent="0.25">
      <c r="B249" s="2" t="s">
        <v>268</v>
      </c>
      <c r="C249" s="1393" t="s">
        <v>336</v>
      </c>
      <c r="D249" s="1393"/>
      <c r="E249" s="1393"/>
      <c r="F249" s="1393"/>
      <c r="G249" s="1393"/>
      <c r="H249" s="1393"/>
      <c r="I249" s="1393"/>
      <c r="J249" s="1393"/>
      <c r="N249" s="82">
        <f>+((K258*(0.7*K254+0.3*K256)+(K260*(0.15*K254+0.45*K256+0.4*K256))))*K262</f>
        <v>14.828098748984999</v>
      </c>
      <c r="O249" s="2" t="e">
        <f>+N249/#REF!-1</f>
        <v>#REF!</v>
      </c>
    </row>
    <row r="251" spans="1:15" x14ac:dyDescent="0.25">
      <c r="C251" s="62"/>
    </row>
    <row r="252" spans="1:15" x14ac:dyDescent="0.25">
      <c r="B252" s="8" t="s">
        <v>5</v>
      </c>
    </row>
    <row r="254" spans="1:15" x14ac:dyDescent="0.25">
      <c r="A254" s="35"/>
      <c r="B254" s="4" t="s">
        <v>167</v>
      </c>
      <c r="C254" s="8" t="s">
        <v>419</v>
      </c>
      <c r="K254" s="72">
        <f>+'Hoja Llave'!J12</f>
        <v>3.3E-3</v>
      </c>
    </row>
    <row r="255" spans="1:15" x14ac:dyDescent="0.25">
      <c r="B255" s="4"/>
    </row>
    <row r="256" spans="1:15" x14ac:dyDescent="0.25">
      <c r="B256" s="4" t="s">
        <v>269</v>
      </c>
      <c r="C256" s="8" t="s">
        <v>420</v>
      </c>
      <c r="K256" s="72">
        <f>+'Hoja Llave'!J51</f>
        <v>4.1999999999999997E-3</v>
      </c>
    </row>
    <row r="257" spans="1:15" x14ac:dyDescent="0.25">
      <c r="B257" s="4"/>
    </row>
    <row r="258" spans="1:15" x14ac:dyDescent="0.25">
      <c r="B258" s="4" t="s">
        <v>193</v>
      </c>
      <c r="C258" s="8" t="s">
        <v>194</v>
      </c>
      <c r="K258" s="10">
        <f>+'Hoja Llave'!J41</f>
        <v>0.42070000000000002</v>
      </c>
    </row>
    <row r="259" spans="1:15" x14ac:dyDescent="0.25">
      <c r="B259" s="4"/>
      <c r="C259" s="8"/>
    </row>
    <row r="260" spans="1:15" x14ac:dyDescent="0.25">
      <c r="B260" s="4" t="s">
        <v>203</v>
      </c>
      <c r="C260" s="8" t="s">
        <v>206</v>
      </c>
      <c r="K260" s="10">
        <f>+'Hoja Llave'!J42</f>
        <v>0.57930000000000004</v>
      </c>
    </row>
    <row r="261" spans="1:15" x14ac:dyDescent="0.25">
      <c r="B261" s="4"/>
    </row>
    <row r="262" spans="1:15" ht="26.4" x14ac:dyDescent="0.25">
      <c r="A262" s="35" t="s">
        <v>418</v>
      </c>
      <c r="B262" s="4" t="s">
        <v>335</v>
      </c>
      <c r="C262" s="8" t="s">
        <v>272</v>
      </c>
      <c r="K262" s="72">
        <f>+'Hoja Llave'!J16*O5</f>
        <v>3844.71</v>
      </c>
    </row>
    <row r="265" spans="1:15" s="2" customFormat="1" x14ac:dyDescent="0.25">
      <c r="A265" s="59"/>
      <c r="B265" s="5" t="s">
        <v>64</v>
      </c>
      <c r="C265" s="6" t="s">
        <v>60</v>
      </c>
      <c r="D265" s="6"/>
      <c r="E265" s="6"/>
      <c r="F265" s="6"/>
      <c r="G265" s="7" t="s">
        <v>79</v>
      </c>
      <c r="H265" s="6"/>
      <c r="I265" s="6"/>
      <c r="J265" s="6"/>
      <c r="K265" s="18"/>
      <c r="L265" s="6"/>
      <c r="M265" s="6"/>
      <c r="N265" s="76">
        <f>+N300</f>
        <v>43.108613205678573</v>
      </c>
      <c r="O265" s="2" t="e">
        <f>+N265/#REF!-1</f>
        <v>#REF!</v>
      </c>
    </row>
    <row r="267" spans="1:15" x14ac:dyDescent="0.25">
      <c r="B267" s="48"/>
      <c r="C267" s="1406" t="s">
        <v>273</v>
      </c>
      <c r="D267" s="1406"/>
      <c r="E267" s="1406"/>
      <c r="F267" s="1406"/>
      <c r="G267" s="1406"/>
      <c r="H267" s="1406"/>
      <c r="I267" s="1406"/>
      <c r="J267" s="1406"/>
      <c r="K267" s="1406"/>
      <c r="L267" s="1406"/>
      <c r="M267" s="1406"/>
      <c r="N267" s="1406"/>
    </row>
    <row r="268" spans="1:15" ht="39.6" x14ac:dyDescent="0.25">
      <c r="A268" s="35" t="s">
        <v>421</v>
      </c>
      <c r="B268" s="48"/>
      <c r="C268" s="1406"/>
      <c r="D268" s="1406"/>
      <c r="E268" s="1406"/>
      <c r="F268" s="1406"/>
      <c r="G268" s="1406"/>
      <c r="H268" s="1406"/>
      <c r="I268" s="1406"/>
      <c r="J268" s="1406"/>
      <c r="K268" s="1406"/>
      <c r="L268" s="1406"/>
      <c r="M268" s="1406"/>
      <c r="N268" s="1406"/>
    </row>
    <row r="270" spans="1:15" x14ac:dyDescent="0.25">
      <c r="B270" s="8" t="s">
        <v>61</v>
      </c>
    </row>
    <row r="272" spans="1:15" s="2" customFormat="1" x14ac:dyDescent="0.25">
      <c r="A272" s="59"/>
      <c r="B272" s="4" t="s">
        <v>274</v>
      </c>
      <c r="C272" s="1393" t="s">
        <v>383</v>
      </c>
      <c r="D272" s="1393"/>
      <c r="E272" s="1393"/>
      <c r="F272" s="17" t="s">
        <v>4</v>
      </c>
      <c r="G272" s="1393"/>
      <c r="H272" s="1393"/>
      <c r="I272" s="1393"/>
      <c r="J272" s="1393"/>
      <c r="K272" s="51" t="s">
        <v>4</v>
      </c>
      <c r="L272" s="85">
        <f>+K276*((0.5*L278*K280)+(0.5*L278*K283))</f>
        <v>16.23278417425</v>
      </c>
    </row>
    <row r="274" spans="1:12" x14ac:dyDescent="0.25">
      <c r="B274" s="8" t="s">
        <v>5</v>
      </c>
    </row>
    <row r="276" spans="1:12" x14ac:dyDescent="0.25">
      <c r="B276" s="4" t="s">
        <v>193</v>
      </c>
      <c r="C276" s="8" t="s">
        <v>194</v>
      </c>
      <c r="K276" s="10">
        <f>+'Hoja Llave'!J41</f>
        <v>0.42070000000000002</v>
      </c>
    </row>
    <row r="278" spans="1:12" x14ac:dyDescent="0.25">
      <c r="A278" s="35" t="s">
        <v>456</v>
      </c>
      <c r="B278" s="4" t="s">
        <v>171</v>
      </c>
      <c r="C278" t="s">
        <v>62</v>
      </c>
      <c r="K278" s="84">
        <f>+'Hoja Llave'!J17</f>
        <v>1.0714285714285714E-4</v>
      </c>
      <c r="L278" s="114">
        <f>6/84000</f>
        <v>7.1428571428571434E-5</v>
      </c>
    </row>
    <row r="279" spans="1:12" x14ac:dyDescent="0.25">
      <c r="B279" s="4"/>
    </row>
    <row r="280" spans="1:12" ht="12.75" customHeight="1" x14ac:dyDescent="0.25">
      <c r="B280" s="1389" t="s">
        <v>63</v>
      </c>
      <c r="C280" s="1408" t="s">
        <v>188</v>
      </c>
      <c r="D280" s="1408"/>
      <c r="E280" s="1408"/>
      <c r="F280" s="1408"/>
      <c r="G280" s="1408"/>
      <c r="H280" s="1408"/>
      <c r="I280" s="1408"/>
      <c r="J280" s="1408"/>
      <c r="K280" s="1409">
        <f>+'Hoja Llave'!J13*O5</f>
        <v>539125.97</v>
      </c>
    </row>
    <row r="281" spans="1:12" x14ac:dyDescent="0.25">
      <c r="B281" s="1389"/>
      <c r="C281" s="1408"/>
      <c r="D281" s="1408"/>
      <c r="E281" s="1408"/>
      <c r="F281" s="1408"/>
      <c r="G281" s="1408"/>
      <c r="H281" s="1408"/>
      <c r="I281" s="1408"/>
      <c r="J281" s="1408"/>
      <c r="K281" s="1409"/>
    </row>
    <row r="282" spans="1:12" x14ac:dyDescent="0.25">
      <c r="B282" s="4"/>
    </row>
    <row r="283" spans="1:12" ht="12.75" customHeight="1" x14ac:dyDescent="0.25">
      <c r="B283" s="1389" t="s">
        <v>187</v>
      </c>
      <c r="C283" s="1406" t="s">
        <v>382</v>
      </c>
      <c r="D283" s="1408"/>
      <c r="E283" s="1408"/>
      <c r="F283" s="1408"/>
      <c r="G283" s="1408"/>
      <c r="H283" s="1408"/>
      <c r="I283" s="1408"/>
      <c r="J283" s="1408"/>
      <c r="K283" s="117">
        <f>+'Hoja Llave'!J15*O5</f>
        <v>541259</v>
      </c>
    </row>
    <row r="284" spans="1:12" x14ac:dyDescent="0.25">
      <c r="B284" s="1389"/>
      <c r="C284" s="1408"/>
      <c r="D284" s="1408"/>
      <c r="E284" s="1408"/>
      <c r="F284" s="1408"/>
      <c r="G284" s="1408"/>
      <c r="H284" s="1408"/>
      <c r="I284" s="1408"/>
      <c r="J284" s="1408"/>
    </row>
    <row r="285" spans="1:12" x14ac:dyDescent="0.25">
      <c r="B285" s="21"/>
      <c r="C285" s="34"/>
      <c r="D285" s="34"/>
      <c r="E285" s="34"/>
      <c r="F285" s="34"/>
      <c r="G285" s="34"/>
      <c r="H285" s="34"/>
      <c r="I285" s="34"/>
      <c r="J285" s="34"/>
      <c r="K285" s="52"/>
    </row>
    <row r="286" spans="1:12" x14ac:dyDescent="0.25">
      <c r="B286" s="21"/>
      <c r="C286" s="34"/>
      <c r="D286" s="34"/>
      <c r="E286" s="34"/>
      <c r="F286" s="34"/>
      <c r="G286" s="34"/>
      <c r="H286" s="34"/>
      <c r="I286" s="34"/>
      <c r="J286" s="34"/>
      <c r="K286" s="52"/>
    </row>
    <row r="287" spans="1:12" x14ac:dyDescent="0.25">
      <c r="B287" s="4" t="s">
        <v>275</v>
      </c>
      <c r="C287" s="1393" t="s">
        <v>381</v>
      </c>
      <c r="D287" s="1393"/>
      <c r="E287" s="1393"/>
      <c r="F287" s="1393"/>
      <c r="G287" s="1393"/>
      <c r="H287" s="1393"/>
      <c r="I287" s="1393"/>
      <c r="J287" s="1393"/>
      <c r="K287" s="60" t="s">
        <v>4</v>
      </c>
      <c r="L287" s="110">
        <f>+K291*((0.7*L293*K297)+(0.3*L295*K297))</f>
        <v>26.875829031428573</v>
      </c>
    </row>
    <row r="288" spans="1:12" x14ac:dyDescent="0.25">
      <c r="K288" s="52"/>
    </row>
    <row r="289" spans="1:15" x14ac:dyDescent="0.25">
      <c r="B289" s="8" t="s">
        <v>5</v>
      </c>
      <c r="K289" s="52"/>
    </row>
    <row r="290" spans="1:15" x14ac:dyDescent="0.25">
      <c r="K290" s="52"/>
    </row>
    <row r="291" spans="1:15" x14ac:dyDescent="0.25">
      <c r="B291" s="4" t="s">
        <v>203</v>
      </c>
      <c r="C291" s="8" t="s">
        <v>206</v>
      </c>
      <c r="K291" s="52">
        <f>+'Hoja Llave'!J42</f>
        <v>0.57930000000000004</v>
      </c>
    </row>
    <row r="292" spans="1:15" x14ac:dyDescent="0.25">
      <c r="K292" s="52"/>
    </row>
    <row r="293" spans="1:15" x14ac:dyDescent="0.25">
      <c r="A293" s="35" t="s">
        <v>456</v>
      </c>
      <c r="B293" s="4" t="s">
        <v>171</v>
      </c>
      <c r="C293" t="s">
        <v>375</v>
      </c>
      <c r="K293" s="83">
        <f>+'Hoja Llave'!J17</f>
        <v>1.0714285714285714E-4</v>
      </c>
      <c r="L293" s="114">
        <f>6/84000</f>
        <v>7.1428571428571434E-5</v>
      </c>
    </row>
    <row r="294" spans="1:15" x14ac:dyDescent="0.25">
      <c r="B294" s="4"/>
      <c r="K294" s="58"/>
    </row>
    <row r="295" spans="1:15" x14ac:dyDescent="0.25">
      <c r="A295" s="35" t="s">
        <v>457</v>
      </c>
      <c r="B295" s="4" t="s">
        <v>374</v>
      </c>
      <c r="C295" t="s">
        <v>376</v>
      </c>
      <c r="K295" s="58">
        <f>+'Hoja Llave'!J18</f>
        <v>1.9047619047619048E-4</v>
      </c>
      <c r="L295">
        <f>10/84000</f>
        <v>1.1904761904761905E-4</v>
      </c>
    </row>
    <row r="296" spans="1:15" x14ac:dyDescent="0.25">
      <c r="B296" s="4"/>
      <c r="K296" s="52"/>
    </row>
    <row r="297" spans="1:15" x14ac:dyDescent="0.25">
      <c r="A297" s="35"/>
      <c r="B297" s="1389" t="s">
        <v>187</v>
      </c>
      <c r="C297" s="1406" t="s">
        <v>382</v>
      </c>
      <c r="D297" s="1408"/>
      <c r="E297" s="1408"/>
      <c r="F297" s="1408"/>
      <c r="G297" s="1408"/>
      <c r="H297" s="1408"/>
      <c r="I297" s="1408"/>
      <c r="J297" s="1408"/>
      <c r="K297" s="52">
        <f>+'Hoja Llave'!J15*O5</f>
        <v>541259</v>
      </c>
    </row>
    <row r="298" spans="1:15" x14ac:dyDescent="0.25">
      <c r="B298" s="1389"/>
      <c r="C298" s="1408"/>
      <c r="D298" s="1408"/>
      <c r="E298" s="1408"/>
      <c r="F298" s="1408"/>
      <c r="G298" s="1408"/>
      <c r="H298" s="1408"/>
      <c r="I298" s="1408"/>
      <c r="J298" s="1408"/>
    </row>
    <row r="299" spans="1:15" x14ac:dyDescent="0.25">
      <c r="B299" s="21"/>
      <c r="C299" s="34"/>
      <c r="D299" s="34"/>
      <c r="E299" s="34"/>
      <c r="F299" s="34"/>
      <c r="G299" s="34"/>
      <c r="H299" s="34"/>
      <c r="I299" s="34"/>
      <c r="J299" s="34"/>
    </row>
    <row r="300" spans="1:15" ht="12.75" customHeight="1" x14ac:dyDescent="0.25">
      <c r="B300" s="21" t="s">
        <v>276</v>
      </c>
      <c r="C300" s="1389" t="s">
        <v>277</v>
      </c>
      <c r="D300" s="1389"/>
      <c r="E300" s="1389"/>
      <c r="F300" s="35" t="s">
        <v>4</v>
      </c>
      <c r="G300" s="1413" t="str">
        <f>+ROUND(L272,4)&amp;" + "&amp;ROUND(L287,4)</f>
        <v>16,2328 + 26,8758</v>
      </c>
      <c r="H300" s="1389"/>
      <c r="I300" s="1389"/>
      <c r="J300" s="59" t="s">
        <v>4</v>
      </c>
      <c r="K300" s="13"/>
      <c r="L300" s="2"/>
      <c r="M300" s="2"/>
      <c r="N300" s="13">
        <f>+L287+L272</f>
        <v>43.108613205678573</v>
      </c>
    </row>
    <row r="301" spans="1:15" x14ac:dyDescent="0.25">
      <c r="B301" s="21"/>
      <c r="C301" s="21"/>
      <c r="D301" s="21"/>
      <c r="E301" s="21"/>
      <c r="F301" s="35"/>
      <c r="G301" s="34"/>
      <c r="H301" s="34"/>
      <c r="I301" s="34"/>
      <c r="J301" s="34"/>
    </row>
    <row r="302" spans="1:15" x14ac:dyDescent="0.25">
      <c r="B302" s="21"/>
      <c r="C302" s="34"/>
      <c r="D302" s="34"/>
      <c r="E302" s="34"/>
      <c r="F302" s="34"/>
      <c r="G302" s="34"/>
      <c r="H302" s="34"/>
      <c r="I302" s="34"/>
      <c r="J302" s="34"/>
    </row>
    <row r="303" spans="1:15" s="2" customFormat="1" x14ac:dyDescent="0.25">
      <c r="A303" s="59"/>
      <c r="B303" s="5" t="s">
        <v>66</v>
      </c>
      <c r="C303" s="6" t="s">
        <v>65</v>
      </c>
      <c r="D303" s="6"/>
      <c r="E303" s="6"/>
      <c r="F303" s="6"/>
      <c r="G303" s="7" t="s">
        <v>78</v>
      </c>
      <c r="H303" s="6"/>
      <c r="I303" s="6"/>
      <c r="J303" s="6"/>
      <c r="K303" s="18"/>
      <c r="L303" s="6"/>
      <c r="M303" s="6"/>
      <c r="N303" s="76">
        <f>+N305</f>
        <v>4.3108613205678576</v>
      </c>
      <c r="O303" s="2" t="e">
        <f>+N303/#REF!-1</f>
        <v>#REF!</v>
      </c>
    </row>
    <row r="305" spans="1:15" s="2" customFormat="1" ht="118.8" x14ac:dyDescent="0.25">
      <c r="A305" s="59" t="s">
        <v>423</v>
      </c>
      <c r="B305" s="4" t="s">
        <v>163</v>
      </c>
      <c r="C305" s="1393" t="s">
        <v>278</v>
      </c>
      <c r="D305" s="1393"/>
      <c r="E305" s="4" t="s">
        <v>4</v>
      </c>
      <c r="F305" s="1393" t="str">
        <f>0.1&amp;" . "&amp;ROUND(N300,4)</f>
        <v>0,1 . 43,1086</v>
      </c>
      <c r="G305" s="1393"/>
      <c r="H305" s="1393"/>
      <c r="I305" s="1393"/>
      <c r="J305" s="4" t="s">
        <v>4</v>
      </c>
      <c r="K305" s="13"/>
      <c r="N305" s="80">
        <f>0.1*N300</f>
        <v>4.3108613205678576</v>
      </c>
    </row>
    <row r="308" spans="1:15" s="2" customFormat="1" x14ac:dyDescent="0.25">
      <c r="A308" s="59"/>
      <c r="B308" s="5" t="s">
        <v>168</v>
      </c>
      <c r="C308" s="6" t="s">
        <v>67</v>
      </c>
      <c r="D308" s="6"/>
      <c r="E308" s="6"/>
      <c r="F308" s="6"/>
      <c r="G308" s="7" t="s">
        <v>77</v>
      </c>
      <c r="H308" s="6"/>
      <c r="I308" s="6"/>
      <c r="J308" s="6"/>
      <c r="K308" s="18"/>
      <c r="L308" s="6"/>
      <c r="M308" s="6"/>
      <c r="N308" s="76">
        <f>+N310</f>
        <v>2.7513333333333332</v>
      </c>
      <c r="O308" s="2" t="e">
        <f>+N308/#REF!-1</f>
        <v>#REF!</v>
      </c>
    </row>
    <row r="310" spans="1:15" s="2" customFormat="1" ht="66" x14ac:dyDescent="0.25">
      <c r="A310" s="59" t="s">
        <v>422</v>
      </c>
      <c r="B310" s="1403" t="s">
        <v>68</v>
      </c>
      <c r="C310" s="1390" t="s">
        <v>69</v>
      </c>
      <c r="D310" s="1390"/>
      <c r="E310" s="1403" t="s">
        <v>4</v>
      </c>
      <c r="F310" s="1401">
        <f>+K315</f>
        <v>8254</v>
      </c>
      <c r="G310" s="1401"/>
      <c r="H310" s="1401"/>
      <c r="I310" s="1401"/>
      <c r="J310" s="1403" t="s">
        <v>4</v>
      </c>
      <c r="K310" s="13"/>
      <c r="N310" s="13">
        <f>+F310/F311</f>
        <v>2.7513333333333332</v>
      </c>
    </row>
    <row r="311" spans="1:15" s="2" customFormat="1" x14ac:dyDescent="0.25">
      <c r="A311" s="59"/>
      <c r="B311" s="1403"/>
      <c r="C311" s="1393" t="s">
        <v>70</v>
      </c>
      <c r="D311" s="1393"/>
      <c r="E311" s="1403"/>
      <c r="F311" s="1404">
        <v>3000</v>
      </c>
      <c r="G311" s="1404"/>
      <c r="H311" s="1404"/>
      <c r="I311" s="1404"/>
      <c r="J311" s="1403"/>
      <c r="K311" s="13"/>
      <c r="N311" s="13"/>
    </row>
    <row r="313" spans="1:15" x14ac:dyDescent="0.25">
      <c r="B313" s="8" t="s">
        <v>5</v>
      </c>
    </row>
    <row r="315" spans="1:15" x14ac:dyDescent="0.25">
      <c r="A315" s="35" t="s">
        <v>404</v>
      </c>
      <c r="B315" s="4" t="s">
        <v>69</v>
      </c>
      <c r="C315" t="s">
        <v>71</v>
      </c>
      <c r="K315" s="10">
        <f>+'Hoja Llave'!J23*O5</f>
        <v>8254</v>
      </c>
    </row>
    <row r="318" spans="1:15" s="2" customFormat="1" x14ac:dyDescent="0.25">
      <c r="A318" s="59"/>
      <c r="B318" s="5" t="s">
        <v>72</v>
      </c>
      <c r="C318" s="6"/>
      <c r="D318" s="6"/>
      <c r="E318" s="6"/>
      <c r="F318" s="6"/>
      <c r="G318" s="7"/>
      <c r="H318" s="6"/>
      <c r="I318" s="6"/>
      <c r="J318" s="6"/>
      <c r="K318" s="18"/>
      <c r="L318" s="6"/>
      <c r="M318" s="6"/>
      <c r="N318" s="76">
        <f>+N320</f>
        <v>318.00102528988344</v>
      </c>
      <c r="O318" s="2" t="e">
        <f>+N318/#REF!-1</f>
        <v>#REF!</v>
      </c>
    </row>
    <row r="320" spans="1:15" s="2" customFormat="1" ht="15.6" x14ac:dyDescent="0.3">
      <c r="A320" s="59"/>
      <c r="B320" s="4" t="s">
        <v>73</v>
      </c>
      <c r="C320" s="1393" t="s">
        <v>169</v>
      </c>
      <c r="D320" s="1393"/>
      <c r="E320" s="4" t="s">
        <v>4</v>
      </c>
      <c r="F320" s="1393" t="str">
        <f>+ROUND(N241,4)&amp;" + "&amp;ROUND(N249,4)&amp;" + "&amp;ROUND(N300,4)&amp;" + "&amp;ROUND(N305,4)&amp;" + "&amp;ROUND(N310,4)</f>
        <v>253,0021 + 14,8281 + 43,1086 + 4,3109 + 2,7513</v>
      </c>
      <c r="G320" s="1393"/>
      <c r="H320" s="1393"/>
      <c r="I320" s="1393"/>
      <c r="J320" s="1393"/>
      <c r="K320" s="50" t="s">
        <v>4</v>
      </c>
      <c r="N320" s="90">
        <f>+N310+N305+N300+N249+N241</f>
        <v>318.00102528988344</v>
      </c>
      <c r="O320" s="2" t="e">
        <f>+N320/#REF!-1</f>
        <v>#REF!</v>
      </c>
    </row>
    <row r="323" spans="1:16" s="2" customFormat="1" x14ac:dyDescent="0.25">
      <c r="A323" s="59"/>
      <c r="B323" s="5" t="s">
        <v>74</v>
      </c>
      <c r="C323" s="6" t="s">
        <v>75</v>
      </c>
      <c r="D323" s="6"/>
      <c r="E323" s="6"/>
      <c r="F323" s="6"/>
      <c r="G323" s="7" t="s">
        <v>76</v>
      </c>
      <c r="H323" s="6"/>
      <c r="I323" s="6"/>
      <c r="J323" s="6"/>
      <c r="K323" s="18"/>
      <c r="L323" s="6"/>
      <c r="M323" s="6"/>
      <c r="N323" s="11"/>
    </row>
    <row r="326" spans="1:16" s="2" customFormat="1" x14ac:dyDescent="0.25">
      <c r="A326" s="59"/>
      <c r="B326" s="5" t="s">
        <v>81</v>
      </c>
      <c r="C326" s="6" t="s">
        <v>82</v>
      </c>
      <c r="D326" s="6"/>
      <c r="E326" s="6"/>
      <c r="F326" s="6"/>
      <c r="G326" s="7" t="s">
        <v>84</v>
      </c>
      <c r="H326" s="6"/>
      <c r="I326" s="6"/>
      <c r="J326" s="6"/>
      <c r="K326" s="18"/>
      <c r="L326" s="6"/>
      <c r="M326" s="6"/>
      <c r="N326" s="76">
        <f>+N374</f>
        <v>200.68877151334095</v>
      </c>
      <c r="O326" s="2" t="e">
        <f>+N326/#REF!-1</f>
        <v>#REF!</v>
      </c>
    </row>
    <row r="328" spans="1:16" s="2" customFormat="1" x14ac:dyDescent="0.25">
      <c r="A328" s="59"/>
      <c r="B328" s="1403" t="s">
        <v>281</v>
      </c>
      <c r="C328" s="1390" t="s">
        <v>279</v>
      </c>
      <c r="D328" s="1390"/>
      <c r="E328" s="1403" t="s">
        <v>4</v>
      </c>
      <c r="F328" s="1390" t="str">
        <f>+K333&amp;" . "&amp;K335&amp;" . "&amp;K341</f>
        <v>0,08 . 0,4207 . 193800000</v>
      </c>
      <c r="G328" s="1390"/>
      <c r="H328" s="1390"/>
      <c r="I328" s="1390"/>
      <c r="J328" s="1403" t="s">
        <v>4</v>
      </c>
      <c r="K328" s="80">
        <f>+(K333*K335*K341)/(K337)</f>
        <v>84.037276576433072</v>
      </c>
      <c r="O328" s="32"/>
      <c r="P328" s="12"/>
    </row>
    <row r="329" spans="1:16" s="2" customFormat="1" x14ac:dyDescent="0.25">
      <c r="A329" s="59"/>
      <c r="B329" s="1403"/>
      <c r="C329" s="1393" t="s">
        <v>280</v>
      </c>
      <c r="D329" s="1393"/>
      <c r="E329" s="1403"/>
      <c r="F329" s="1404">
        <f>+K337</f>
        <v>77614.756994982657</v>
      </c>
      <c r="G329" s="1404"/>
      <c r="H329" s="1404"/>
      <c r="I329" s="1404"/>
      <c r="J329" s="1403"/>
      <c r="K329" s="13"/>
      <c r="N329" s="13"/>
      <c r="P329" s="33"/>
    </row>
    <row r="331" spans="1:16" x14ac:dyDescent="0.25">
      <c r="B331" s="8" t="s">
        <v>5</v>
      </c>
    </row>
    <row r="333" spans="1:16" x14ac:dyDescent="0.25">
      <c r="A333" s="35" t="s">
        <v>404</v>
      </c>
      <c r="B333" s="4" t="s">
        <v>83</v>
      </c>
      <c r="C333" s="8" t="s">
        <v>285</v>
      </c>
      <c r="K333" s="72">
        <f>+'Hoja Llave'!J20</f>
        <v>0.08</v>
      </c>
    </row>
    <row r="334" spans="1:16" x14ac:dyDescent="0.25">
      <c r="B334" s="4"/>
    </row>
    <row r="335" spans="1:16" x14ac:dyDescent="0.25">
      <c r="B335" s="4" t="s">
        <v>193</v>
      </c>
      <c r="C335" s="8" t="s">
        <v>194</v>
      </c>
      <c r="K335" s="10">
        <f>+'Hoja Llave'!J41</f>
        <v>0.42070000000000002</v>
      </c>
    </row>
    <row r="336" spans="1:16" x14ac:dyDescent="0.25">
      <c r="B336" s="4"/>
    </row>
    <row r="337" spans="1:11" x14ac:dyDescent="0.25">
      <c r="B337" s="4" t="s">
        <v>333</v>
      </c>
      <c r="C337" s="8" t="s">
        <v>235</v>
      </c>
      <c r="K337" s="10">
        <f>+'Hoja Llave'!J33</f>
        <v>77614.756994982657</v>
      </c>
    </row>
    <row r="339" spans="1:11" x14ac:dyDescent="0.25">
      <c r="B339" s="8" t="s">
        <v>282</v>
      </c>
    </row>
    <row r="341" spans="1:11" x14ac:dyDescent="0.25">
      <c r="B341" s="4" t="s">
        <v>283</v>
      </c>
      <c r="C341" s="1393" t="s">
        <v>284</v>
      </c>
      <c r="D341" s="1393"/>
      <c r="E341" s="38" t="s">
        <v>4</v>
      </c>
      <c r="F341" s="1393" t="str">
        <f>+"0,70"&amp;" . "&amp;K345&amp;" + "&amp;"0,30"&amp;" . "&amp;K347</f>
        <v>0,70 . 171000000 + 0,30 . 247000000</v>
      </c>
      <c r="G341" s="1393"/>
      <c r="H341" s="1393"/>
      <c r="I341" s="1393"/>
      <c r="J341" s="8" t="s">
        <v>4</v>
      </c>
      <c r="K341" s="80">
        <f>+(0.7*K345)+(0.3*K347)</f>
        <v>193800000</v>
      </c>
    </row>
    <row r="343" spans="1:11" x14ac:dyDescent="0.25">
      <c r="B343" s="8" t="s">
        <v>5</v>
      </c>
    </row>
    <row r="345" spans="1:11" ht="26.4" x14ac:dyDescent="0.25">
      <c r="A345" s="35" t="s">
        <v>424</v>
      </c>
      <c r="B345" s="4" t="s">
        <v>286</v>
      </c>
      <c r="C345" s="8" t="s">
        <v>287</v>
      </c>
      <c r="K345" s="72">
        <f>+'Hoja Llave'!J52*O5</f>
        <v>171000000</v>
      </c>
    </row>
    <row r="346" spans="1:11" x14ac:dyDescent="0.25">
      <c r="B346" s="4"/>
      <c r="C346" s="8"/>
    </row>
    <row r="347" spans="1:11" ht="26.4" x14ac:dyDescent="0.25">
      <c r="A347" s="35" t="s">
        <v>424</v>
      </c>
      <c r="B347" s="4" t="s">
        <v>241</v>
      </c>
      <c r="C347" s="8" t="s">
        <v>288</v>
      </c>
      <c r="K347" s="72">
        <f>+'Hoja Llave'!J53*O5</f>
        <v>247000000</v>
      </c>
    </row>
    <row r="348" spans="1:11" x14ac:dyDescent="0.25">
      <c r="B348" s="4"/>
      <c r="C348" s="8"/>
    </row>
    <row r="349" spans="1:11" x14ac:dyDescent="0.25">
      <c r="B349" s="4"/>
      <c r="C349" s="8"/>
    </row>
    <row r="350" spans="1:11" x14ac:dyDescent="0.25">
      <c r="B350" s="4" t="s">
        <v>289</v>
      </c>
      <c r="C350" s="1390" t="s">
        <v>290</v>
      </c>
      <c r="D350" s="1390"/>
      <c r="E350" s="45" t="s">
        <v>4</v>
      </c>
      <c r="F350" s="1390" t="str">
        <f>+K355&amp;" . "&amp;K357&amp;" . "&amp;K364</f>
        <v>0,08 . 0,5793 . 292600000</v>
      </c>
      <c r="G350" s="1390"/>
      <c r="H350" s="1390"/>
      <c r="I350" s="1390"/>
      <c r="J350" s="8" t="s">
        <v>4</v>
      </c>
      <c r="K350" s="80">
        <f>+(K355*K357*K364)/K359</f>
        <v>116.65149493690789</v>
      </c>
    </row>
    <row r="351" spans="1:11" x14ac:dyDescent="0.25">
      <c r="B351" s="4"/>
      <c r="C351" s="1402" t="s">
        <v>234</v>
      </c>
      <c r="D351" s="1402"/>
      <c r="E351" s="54"/>
      <c r="F351" s="1407">
        <f>+K359</f>
        <v>116245.86900780138</v>
      </c>
      <c r="G351" s="1407"/>
      <c r="H351" s="1407"/>
      <c r="I351" s="1407"/>
    </row>
    <row r="352" spans="1:11" x14ac:dyDescent="0.25">
      <c r="B352" s="4"/>
      <c r="C352" s="8"/>
    </row>
    <row r="353" spans="1:11" x14ac:dyDescent="0.25">
      <c r="B353" s="38" t="s">
        <v>5</v>
      </c>
      <c r="C353" s="8"/>
    </row>
    <row r="354" spans="1:11" x14ac:dyDescent="0.25">
      <c r="B354" s="4"/>
      <c r="C354" s="8"/>
    </row>
    <row r="355" spans="1:11" x14ac:dyDescent="0.25">
      <c r="B355" s="4" t="s">
        <v>83</v>
      </c>
      <c r="C355" s="8" t="s">
        <v>285</v>
      </c>
      <c r="K355" s="72">
        <f>+'Hoja Llave'!J20</f>
        <v>0.08</v>
      </c>
    </row>
    <row r="356" spans="1:11" x14ac:dyDescent="0.25">
      <c r="B356" s="4"/>
      <c r="C356" s="8"/>
    </row>
    <row r="357" spans="1:11" x14ac:dyDescent="0.25">
      <c r="B357" s="4" t="s">
        <v>291</v>
      </c>
      <c r="C357" s="8" t="s">
        <v>206</v>
      </c>
      <c r="K357" s="10">
        <f>+'Hoja Llave'!J42</f>
        <v>0.57930000000000004</v>
      </c>
    </row>
    <row r="358" spans="1:11" x14ac:dyDescent="0.25">
      <c r="B358" s="4"/>
      <c r="C358" s="8"/>
    </row>
    <row r="359" spans="1:11" x14ac:dyDescent="0.25">
      <c r="B359" s="4" t="s">
        <v>234</v>
      </c>
      <c r="C359" s="8" t="s">
        <v>236</v>
      </c>
      <c r="K359" s="10">
        <f>+'Hoja Llave'!J34</f>
        <v>116245.86900780138</v>
      </c>
    </row>
    <row r="360" spans="1:11" x14ac:dyDescent="0.25">
      <c r="B360" s="4"/>
      <c r="C360" s="8"/>
    </row>
    <row r="361" spans="1:11" x14ac:dyDescent="0.25">
      <c r="B361" s="4"/>
      <c r="C361" s="8"/>
    </row>
    <row r="362" spans="1:11" x14ac:dyDescent="0.25">
      <c r="B362" s="49" t="s">
        <v>292</v>
      </c>
      <c r="C362" s="8"/>
    </row>
    <row r="363" spans="1:11" x14ac:dyDescent="0.25">
      <c r="B363" s="4"/>
      <c r="C363" s="8"/>
    </row>
    <row r="364" spans="1:11" x14ac:dyDescent="0.25">
      <c r="B364" s="4" t="s">
        <v>293</v>
      </c>
      <c r="C364" s="1393" t="s">
        <v>294</v>
      </c>
      <c r="D364" s="1393"/>
      <c r="E364" s="4" t="s">
        <v>4</v>
      </c>
      <c r="F364" s="1393" t="str">
        <f>+"0,15"&amp;" . "&amp;K368&amp;" + "&amp;"0,45"&amp;" . "&amp;K370&amp;" + "&amp;"0,40"&amp;" . "&amp;K372</f>
        <v>0,15 . 171000000 + 0,45 . 247000000 + 0,40 . 389500000</v>
      </c>
      <c r="G364" s="1393"/>
      <c r="H364" s="1393"/>
      <c r="I364" s="1393"/>
      <c r="J364" s="2" t="s">
        <v>4</v>
      </c>
      <c r="K364" s="80">
        <f>+(0.15*K368)+(0.45*K370)+(0.4*K372)</f>
        <v>292600000</v>
      </c>
    </row>
    <row r="365" spans="1:11" x14ac:dyDescent="0.25">
      <c r="B365" s="4"/>
      <c r="C365" s="4"/>
      <c r="D365" s="4"/>
      <c r="E365" s="4"/>
      <c r="F365" s="4"/>
      <c r="G365" s="4"/>
      <c r="I365" s="8"/>
    </row>
    <row r="366" spans="1:11" x14ac:dyDescent="0.25">
      <c r="B366" s="38" t="s">
        <v>5</v>
      </c>
      <c r="C366" s="4"/>
      <c r="D366" s="4"/>
      <c r="E366" s="4"/>
      <c r="F366" s="4"/>
      <c r="G366" s="4"/>
      <c r="I366" s="8"/>
    </row>
    <row r="367" spans="1:11" x14ac:dyDescent="0.25">
      <c r="B367" s="4"/>
      <c r="C367" s="4"/>
      <c r="D367" s="4"/>
      <c r="E367" s="4"/>
      <c r="F367" s="4"/>
      <c r="G367" s="4"/>
      <c r="I367" s="8"/>
    </row>
    <row r="368" spans="1:11" ht="26.4" x14ac:dyDescent="0.25">
      <c r="A368" s="35" t="s">
        <v>424</v>
      </c>
      <c r="B368" s="4" t="s">
        <v>286</v>
      </c>
      <c r="C368" s="8" t="s">
        <v>287</v>
      </c>
      <c r="K368" s="72">
        <f>+'Hoja Llave'!J52*O5</f>
        <v>171000000</v>
      </c>
    </row>
    <row r="369" spans="1:15" x14ac:dyDescent="0.25">
      <c r="B369" s="4"/>
      <c r="C369" s="8"/>
    </row>
    <row r="370" spans="1:15" ht="26.4" x14ac:dyDescent="0.25">
      <c r="A370" s="35" t="s">
        <v>424</v>
      </c>
      <c r="B370" s="4" t="s">
        <v>241</v>
      </c>
      <c r="C370" s="8" t="s">
        <v>288</v>
      </c>
      <c r="K370" s="72">
        <f>+'Hoja Llave'!J53*O5</f>
        <v>247000000</v>
      </c>
    </row>
    <row r="371" spans="1:15" x14ac:dyDescent="0.25">
      <c r="B371" s="4"/>
      <c r="C371" s="8"/>
    </row>
    <row r="372" spans="1:15" ht="26.4" x14ac:dyDescent="0.25">
      <c r="A372" s="35" t="s">
        <v>424</v>
      </c>
      <c r="B372" s="4" t="s">
        <v>242</v>
      </c>
      <c r="C372" s="8" t="s">
        <v>295</v>
      </c>
      <c r="K372" s="72">
        <f>+'Hoja Llave'!J54*O5</f>
        <v>389500000</v>
      </c>
    </row>
    <row r="373" spans="1:15" x14ac:dyDescent="0.25">
      <c r="B373" s="4"/>
      <c r="C373" s="8"/>
    </row>
    <row r="374" spans="1:15" x14ac:dyDescent="0.25">
      <c r="B374" s="4" t="s">
        <v>296</v>
      </c>
      <c r="C374" s="1393" t="s">
        <v>297</v>
      </c>
      <c r="D374" s="1393"/>
      <c r="E374" s="17" t="s">
        <v>4</v>
      </c>
      <c r="F374" s="1393" t="str">
        <f>+ROUND(K328,4)&amp;" + "&amp;ROUND(K350,4)</f>
        <v>84,0373 + 116,6515</v>
      </c>
      <c r="G374" s="1393"/>
      <c r="H374" s="1393"/>
      <c r="I374" s="1393"/>
      <c r="J374" s="2" t="s">
        <v>4</v>
      </c>
      <c r="K374" s="13"/>
      <c r="L374" s="2"/>
      <c r="M374" s="2"/>
      <c r="N374" s="13">
        <f>+K350+K328</f>
        <v>200.68877151334095</v>
      </c>
    </row>
    <row r="375" spans="1:15" x14ac:dyDescent="0.25">
      <c r="B375" s="4"/>
      <c r="C375" s="8"/>
    </row>
    <row r="376" spans="1:15" x14ac:dyDescent="0.25">
      <c r="B376" s="4"/>
      <c r="C376" s="8"/>
    </row>
    <row r="377" spans="1:15" s="2" customFormat="1" x14ac:dyDescent="0.25">
      <c r="A377" s="59" t="s">
        <v>454</v>
      </c>
      <c r="B377" s="5" t="s">
        <v>85</v>
      </c>
      <c r="C377" s="6" t="s">
        <v>86</v>
      </c>
      <c r="D377" s="6"/>
      <c r="E377" s="6"/>
      <c r="F377" s="6"/>
      <c r="G377" s="7" t="s">
        <v>87</v>
      </c>
      <c r="H377" s="6"/>
      <c r="I377" s="6"/>
      <c r="J377" s="6"/>
      <c r="K377" s="18"/>
      <c r="L377" s="6"/>
      <c r="M377" s="6"/>
      <c r="N377" s="76" t="e">
        <f>+N412</f>
        <v>#REF!</v>
      </c>
      <c r="O377" s="2" t="e">
        <f>+N377/#REF!-1</f>
        <v>#REF!</v>
      </c>
    </row>
    <row r="379" spans="1:15" s="2" customFormat="1" x14ac:dyDescent="0.25">
      <c r="A379" s="59"/>
      <c r="B379" s="1403" t="s">
        <v>298</v>
      </c>
      <c r="C379" s="1390" t="s">
        <v>299</v>
      </c>
      <c r="D379" s="1390"/>
      <c r="E379" s="1403" t="s">
        <v>4</v>
      </c>
      <c r="F379" s="1390" t="str">
        <f>+K384&amp;" . "&amp;K386&amp;" . "&amp;"("&amp;"1"&amp;" - "&amp;K390&amp;" . "&amp;K392&amp;")"&amp;" . "&amp;K341</f>
        <v>0,1 . 0,4207 . (1 - 8 . 0,08) . 193800000</v>
      </c>
      <c r="G379" s="1390"/>
      <c r="H379" s="1390"/>
      <c r="I379" s="1390"/>
      <c r="J379" s="1403" t="s">
        <v>4</v>
      </c>
      <c r="K379" s="13" t="e">
        <f>+((K384*K386)*(1-K390*K392)*K341)/K388</f>
        <v>#REF!</v>
      </c>
    </row>
    <row r="380" spans="1:15" s="2" customFormat="1" x14ac:dyDescent="0.25">
      <c r="A380" s="59"/>
      <c r="B380" s="1403"/>
      <c r="C380" s="1393" t="s">
        <v>50</v>
      </c>
      <c r="D380" s="1393"/>
      <c r="E380" s="1403"/>
      <c r="F380" s="1404" t="e">
        <f>+K388</f>
        <v>#REF!</v>
      </c>
      <c r="G380" s="1404"/>
      <c r="H380" s="1404"/>
      <c r="I380" s="1404"/>
      <c r="J380" s="1403"/>
      <c r="K380" s="13"/>
      <c r="N380" s="13"/>
    </row>
    <row r="382" spans="1:15" x14ac:dyDescent="0.25">
      <c r="B382" s="8" t="s">
        <v>5</v>
      </c>
    </row>
    <row r="384" spans="1:15" ht="39.6" x14ac:dyDescent="0.25">
      <c r="A384" s="35" t="s">
        <v>425</v>
      </c>
      <c r="B384" s="4" t="s">
        <v>88</v>
      </c>
      <c r="C384" s="8" t="s">
        <v>300</v>
      </c>
      <c r="K384" s="72">
        <f>+'Hoja Llave'!J21</f>
        <v>0.1</v>
      </c>
    </row>
    <row r="385" spans="1:13" x14ac:dyDescent="0.25">
      <c r="B385" s="4"/>
    </row>
    <row r="386" spans="1:13" x14ac:dyDescent="0.25">
      <c r="B386" s="4" t="s">
        <v>193</v>
      </c>
      <c r="C386" s="8" t="s">
        <v>194</v>
      </c>
      <c r="K386" s="10">
        <f>+'Hoja Llave'!J41</f>
        <v>0.42070000000000002</v>
      </c>
    </row>
    <row r="387" spans="1:13" x14ac:dyDescent="0.25">
      <c r="B387" s="4"/>
    </row>
    <row r="388" spans="1:13" x14ac:dyDescent="0.25">
      <c r="A388" s="35" t="s">
        <v>404</v>
      </c>
      <c r="B388" s="4" t="s">
        <v>50</v>
      </c>
      <c r="C388" s="8" t="s">
        <v>235</v>
      </c>
      <c r="K388" s="75" t="e">
        <f>+'Hoja Llave'!#REF!</f>
        <v>#REF!</v>
      </c>
      <c r="L388" s="87" t="s">
        <v>397</v>
      </c>
    </row>
    <row r="389" spans="1:13" x14ac:dyDescent="0.25">
      <c r="B389" s="4"/>
    </row>
    <row r="390" spans="1:13" x14ac:dyDescent="0.25">
      <c r="A390" s="118" t="s">
        <v>448</v>
      </c>
      <c r="B390" s="4" t="s">
        <v>301</v>
      </c>
      <c r="C390" s="8" t="s">
        <v>302</v>
      </c>
      <c r="K390" s="72">
        <v>8</v>
      </c>
      <c r="L390" s="8" t="s">
        <v>453</v>
      </c>
      <c r="M390" s="8"/>
    </row>
    <row r="391" spans="1:13" x14ac:dyDescent="0.25">
      <c r="B391" s="4"/>
    </row>
    <row r="392" spans="1:13" x14ac:dyDescent="0.25">
      <c r="A392" s="35" t="s">
        <v>404</v>
      </c>
      <c r="B392" s="4" t="s">
        <v>83</v>
      </c>
      <c r="C392" s="8" t="s">
        <v>285</v>
      </c>
      <c r="K392" s="72">
        <f>+'Hoja Llave'!J20</f>
        <v>0.08</v>
      </c>
      <c r="M392" s="8"/>
    </row>
    <row r="393" spans="1:13" x14ac:dyDescent="0.25">
      <c r="B393" s="4"/>
    </row>
    <row r="394" spans="1:13" x14ac:dyDescent="0.25">
      <c r="B394" s="4"/>
    </row>
    <row r="395" spans="1:13" x14ac:dyDescent="0.25">
      <c r="B395" s="1403" t="s">
        <v>304</v>
      </c>
      <c r="C395" s="1390" t="s">
        <v>305</v>
      </c>
      <c r="D395" s="1390"/>
      <c r="E395" s="1403" t="s">
        <v>4</v>
      </c>
      <c r="F395" s="1390" t="str">
        <f>+"("&amp;K400&amp;" . "&amp;K402&amp;" . "&amp;"("&amp;"1"&amp;" - "&amp;K406&amp;" . "&amp;K408&amp;")"&amp;" . "&amp;K410</f>
        <v>(0,1 . 0,5793 . (1 - 8 . 0,08) . 292600000</v>
      </c>
      <c r="G395" s="1390"/>
      <c r="H395" s="1390"/>
      <c r="I395" s="1390"/>
      <c r="J395" s="1403" t="s">
        <v>4</v>
      </c>
      <c r="K395" s="13" t="e">
        <f>+((K400*K402)*(1-K406*K408)*K410)/K404</f>
        <v>#REF!</v>
      </c>
    </row>
    <row r="396" spans="1:13" x14ac:dyDescent="0.25">
      <c r="B396" s="1403"/>
      <c r="C396" s="1393" t="s">
        <v>234</v>
      </c>
      <c r="D396" s="1393"/>
      <c r="E396" s="1403"/>
      <c r="F396" s="1404" t="e">
        <f>+K404</f>
        <v>#REF!</v>
      </c>
      <c r="G396" s="1404"/>
      <c r="H396" s="1404"/>
      <c r="I396" s="1404"/>
      <c r="J396" s="1403"/>
      <c r="K396" s="13"/>
    </row>
    <row r="398" spans="1:13" x14ac:dyDescent="0.25">
      <c r="B398" s="8" t="s">
        <v>5</v>
      </c>
    </row>
    <row r="400" spans="1:13" ht="39.6" x14ac:dyDescent="0.25">
      <c r="A400" s="35" t="s">
        <v>425</v>
      </c>
      <c r="B400" s="4" t="s">
        <v>88</v>
      </c>
      <c r="C400" s="8" t="s">
        <v>300</v>
      </c>
      <c r="K400" s="72">
        <f>+'Hoja Llave'!J21</f>
        <v>0.1</v>
      </c>
    </row>
    <row r="401" spans="1:15" x14ac:dyDescent="0.25">
      <c r="B401" s="4"/>
    </row>
    <row r="402" spans="1:15" x14ac:dyDescent="0.25">
      <c r="B402" s="4" t="s">
        <v>203</v>
      </c>
      <c r="C402" s="8" t="s">
        <v>206</v>
      </c>
      <c r="K402" s="10">
        <f>+'Hoja Llave'!J42</f>
        <v>0.57930000000000004</v>
      </c>
    </row>
    <row r="403" spans="1:15" x14ac:dyDescent="0.25">
      <c r="B403" s="4"/>
    </row>
    <row r="404" spans="1:15" x14ac:dyDescent="0.25">
      <c r="A404" s="35" t="s">
        <v>404</v>
      </c>
      <c r="B404" s="4" t="s">
        <v>234</v>
      </c>
      <c r="C404" s="8" t="s">
        <v>236</v>
      </c>
      <c r="K404" s="75" t="e">
        <f>+'Hoja Llave'!#REF!</f>
        <v>#REF!</v>
      </c>
      <c r="L404" s="87" t="s">
        <v>397</v>
      </c>
    </row>
    <row r="405" spans="1:15" x14ac:dyDescent="0.25">
      <c r="B405" s="4"/>
    </row>
    <row r="406" spans="1:15" ht="26.4" x14ac:dyDescent="0.25">
      <c r="A406" s="35" t="s">
        <v>426</v>
      </c>
      <c r="B406" s="4" t="s">
        <v>301</v>
      </c>
      <c r="C406" s="8" t="s">
        <v>302</v>
      </c>
      <c r="K406" s="72">
        <f>+'Hoja Llave'!J55</f>
        <v>8</v>
      </c>
    </row>
    <row r="407" spans="1:15" x14ac:dyDescent="0.25">
      <c r="B407" s="4"/>
    </row>
    <row r="408" spans="1:15" x14ac:dyDescent="0.25">
      <c r="A408" s="35" t="s">
        <v>404</v>
      </c>
      <c r="B408" s="4" t="s">
        <v>83</v>
      </c>
      <c r="C408" s="8" t="s">
        <v>285</v>
      </c>
      <c r="K408" s="10">
        <f>+'Hoja Llave'!J20</f>
        <v>0.08</v>
      </c>
    </row>
    <row r="409" spans="1:15" x14ac:dyDescent="0.25">
      <c r="B409" s="4"/>
    </row>
    <row r="410" spans="1:15" x14ac:dyDescent="0.25">
      <c r="B410" s="4" t="s">
        <v>306</v>
      </c>
      <c r="C410" s="8" t="s">
        <v>292</v>
      </c>
      <c r="K410" s="10">
        <f>+K364</f>
        <v>292600000</v>
      </c>
    </row>
    <row r="411" spans="1:15" x14ac:dyDescent="0.25">
      <c r="B411" s="4"/>
      <c r="C411" s="8"/>
    </row>
    <row r="412" spans="1:15" s="2" customFormat="1" x14ac:dyDescent="0.25">
      <c r="A412" s="59"/>
      <c r="B412" s="4" t="s">
        <v>307</v>
      </c>
      <c r="C412" s="1393" t="s">
        <v>308</v>
      </c>
      <c r="D412" s="1393"/>
      <c r="E412" s="1393"/>
      <c r="F412" s="2" t="s">
        <v>4</v>
      </c>
      <c r="G412" s="1398" t="e">
        <f>+ROUND(K379,4)&amp;" + "&amp;ROUND(K395,4)</f>
        <v>#REF!</v>
      </c>
      <c r="H412" s="1393"/>
      <c r="I412" s="1393"/>
      <c r="J412" s="1393"/>
      <c r="K412" s="13" t="s">
        <v>4</v>
      </c>
      <c r="N412" s="13" t="e">
        <f>+K379+K395</f>
        <v>#REF!</v>
      </c>
    </row>
    <row r="413" spans="1:15" x14ac:dyDescent="0.25">
      <c r="B413" s="4"/>
    </row>
    <row r="415" spans="1:15" s="2" customFormat="1" x14ac:dyDescent="0.25">
      <c r="A415" s="59"/>
      <c r="B415" s="5" t="s">
        <v>89</v>
      </c>
      <c r="C415" s="6" t="s">
        <v>90</v>
      </c>
      <c r="D415" s="6"/>
      <c r="E415" s="6"/>
      <c r="F415" s="6"/>
      <c r="G415" s="7" t="s">
        <v>106</v>
      </c>
      <c r="H415" s="6"/>
      <c r="I415" s="6"/>
      <c r="J415" s="6"/>
      <c r="K415" s="18"/>
      <c r="L415" s="6"/>
      <c r="M415" s="6"/>
      <c r="N415" s="76">
        <f>+N419</f>
        <v>0</v>
      </c>
      <c r="O415" s="2" t="e">
        <f>+N415/#REF!-1</f>
        <v>#REF!</v>
      </c>
    </row>
    <row r="417" spans="1:15" x14ac:dyDescent="0.25">
      <c r="B417" s="8" t="s">
        <v>91</v>
      </c>
    </row>
    <row r="419" spans="1:15" s="2" customFormat="1" x14ac:dyDescent="0.25">
      <c r="A419" s="59" t="s">
        <v>458</v>
      </c>
      <c r="B419" s="4" t="s">
        <v>92</v>
      </c>
      <c r="C419" s="1393" t="s">
        <v>93</v>
      </c>
      <c r="D419" s="1393"/>
      <c r="E419" s="4" t="s">
        <v>4</v>
      </c>
      <c r="F419" s="1405">
        <f>+N374</f>
        <v>200.68877151334095</v>
      </c>
      <c r="G419" s="1405"/>
      <c r="H419" s="1405"/>
      <c r="I419" s="1405"/>
      <c r="J419" s="4" t="s">
        <v>4</v>
      </c>
      <c r="K419" s="13"/>
      <c r="N419" s="13">
        <v>0</v>
      </c>
    </row>
    <row r="422" spans="1:15" s="2" customFormat="1" x14ac:dyDescent="0.25">
      <c r="A422" s="59"/>
      <c r="B422" s="5" t="s">
        <v>94</v>
      </c>
      <c r="C422" s="6" t="s">
        <v>95</v>
      </c>
      <c r="D422" s="6"/>
      <c r="E422" s="6"/>
      <c r="F422" s="6"/>
      <c r="G422" s="7" t="s">
        <v>107</v>
      </c>
      <c r="H422" s="6"/>
      <c r="I422" s="6"/>
      <c r="J422" s="6"/>
      <c r="K422" s="18"/>
      <c r="L422" s="6"/>
      <c r="M422" s="6"/>
      <c r="N422" s="76" t="e">
        <f>+N427</f>
        <v>#REF!</v>
      </c>
      <c r="O422" s="2" t="e">
        <f>+N422/#REF!-1</f>
        <v>#REF!</v>
      </c>
    </row>
    <row r="423" spans="1:15" x14ac:dyDescent="0.25">
      <c r="B423" s="2" t="s">
        <v>96</v>
      </c>
    </row>
    <row r="424" spans="1:15" ht="12.75" customHeight="1" x14ac:dyDescent="0.25">
      <c r="B424" s="1406" t="s">
        <v>97</v>
      </c>
      <c r="C424" s="1406"/>
      <c r="D424" s="1406"/>
      <c r="E424" s="1406"/>
      <c r="F424" s="1406"/>
      <c r="G424" s="1406"/>
      <c r="H424" s="1406"/>
      <c r="I424" s="1406"/>
      <c r="J424" s="1406"/>
      <c r="K424" s="1406"/>
      <c r="L424" s="1406"/>
      <c r="M424" s="1406"/>
      <c r="N424" s="1406"/>
    </row>
    <row r="425" spans="1:15" x14ac:dyDescent="0.25">
      <c r="B425" s="1406"/>
      <c r="C425" s="1406"/>
      <c r="D425" s="1406"/>
      <c r="E425" s="1406"/>
      <c r="F425" s="1406"/>
      <c r="G425" s="1406"/>
      <c r="H425" s="1406"/>
      <c r="I425" s="1406"/>
      <c r="J425" s="1406"/>
      <c r="K425" s="1406"/>
      <c r="L425" s="1406"/>
      <c r="M425" s="1406"/>
      <c r="N425" s="1406"/>
    </row>
    <row r="427" spans="1:15" s="2" customFormat="1" x14ac:dyDescent="0.25">
      <c r="A427" s="59"/>
      <c r="B427" s="1403" t="s">
        <v>98</v>
      </c>
      <c r="C427" s="1390" t="s">
        <v>99</v>
      </c>
      <c r="D427" s="1390"/>
      <c r="E427" s="1403" t="s">
        <v>4</v>
      </c>
      <c r="F427" s="1390" t="str">
        <f>1.3&amp;" . "&amp;K432</f>
        <v>1,3 . 93803,21</v>
      </c>
      <c r="G427" s="1390"/>
      <c r="H427" s="1390"/>
      <c r="I427" s="1390"/>
      <c r="J427" s="1403" t="s">
        <v>4</v>
      </c>
      <c r="K427" s="13"/>
      <c r="N427" s="80" t="e">
        <f>(1.3*K432)/((K440*K434)+(K436*K438))</f>
        <v>#REF!</v>
      </c>
      <c r="O427" s="2" t="e">
        <f>+N427/#REF!-1</f>
        <v>#REF!</v>
      </c>
    </row>
    <row r="428" spans="1:15" s="2" customFormat="1" x14ac:dyDescent="0.25">
      <c r="A428" s="59"/>
      <c r="B428" s="1403"/>
      <c r="C428" s="1393" t="s">
        <v>337</v>
      </c>
      <c r="D428" s="1393"/>
      <c r="E428" s="1403"/>
      <c r="F428" s="1396" t="e">
        <f>+K440&amp;" . "&amp;K434&amp;" + "&amp;K436&amp;" . "&amp;K438</f>
        <v>#REF!</v>
      </c>
      <c r="G428" s="1396"/>
      <c r="H428" s="1396"/>
      <c r="I428" s="1396"/>
      <c r="J428" s="1403"/>
      <c r="K428" s="13"/>
      <c r="N428" s="13"/>
    </row>
    <row r="430" spans="1:15" x14ac:dyDescent="0.25">
      <c r="B430" s="8" t="s">
        <v>5</v>
      </c>
    </row>
    <row r="432" spans="1:15" x14ac:dyDescent="0.25">
      <c r="B432" s="4" t="s">
        <v>100</v>
      </c>
      <c r="C432" s="8" t="s">
        <v>309</v>
      </c>
      <c r="K432" s="108">
        <f>+'Hoja Llave'!J22*O5</f>
        <v>93803.21</v>
      </c>
    </row>
    <row r="433" spans="1:15" x14ac:dyDescent="0.25">
      <c r="B433" s="4"/>
    </row>
    <row r="434" spans="1:15" x14ac:dyDescent="0.25">
      <c r="B434" s="4" t="s">
        <v>329</v>
      </c>
      <c r="C434" s="8" t="s">
        <v>310</v>
      </c>
      <c r="K434" s="72" t="e">
        <f>+'Hoja Llave'!#REF!</f>
        <v>#REF!</v>
      </c>
    </row>
    <row r="435" spans="1:15" x14ac:dyDescent="0.25">
      <c r="B435" s="4"/>
    </row>
    <row r="436" spans="1:15" x14ac:dyDescent="0.25">
      <c r="B436" s="4" t="s">
        <v>203</v>
      </c>
      <c r="C436" s="8" t="s">
        <v>206</v>
      </c>
      <c r="K436" s="72">
        <f>+'Hoja Llave'!J42</f>
        <v>0.57930000000000004</v>
      </c>
    </row>
    <row r="437" spans="1:15" x14ac:dyDescent="0.25">
      <c r="B437" s="4"/>
    </row>
    <row r="438" spans="1:15" x14ac:dyDescent="0.25">
      <c r="B438" s="4" t="s">
        <v>234</v>
      </c>
      <c r="C438" s="8" t="s">
        <v>311</v>
      </c>
      <c r="K438" s="72" t="e">
        <f>+'Hoja Llave'!#REF!</f>
        <v>#REF!</v>
      </c>
    </row>
    <row r="439" spans="1:15" x14ac:dyDescent="0.25">
      <c r="B439" s="4"/>
    </row>
    <row r="440" spans="1:15" x14ac:dyDescent="0.25">
      <c r="B440" s="4" t="s">
        <v>193</v>
      </c>
      <c r="C440" s="8" t="s">
        <v>206</v>
      </c>
      <c r="K440" s="72">
        <f>+'Hoja Llave'!J41</f>
        <v>0.42070000000000002</v>
      </c>
    </row>
    <row r="443" spans="1:15" s="2" customFormat="1" x14ac:dyDescent="0.25">
      <c r="A443" s="59"/>
      <c r="B443" s="5" t="s">
        <v>101</v>
      </c>
      <c r="C443" s="6"/>
      <c r="D443" s="6"/>
      <c r="E443" s="6"/>
      <c r="F443" s="6"/>
      <c r="G443" s="7"/>
      <c r="H443" s="6"/>
      <c r="I443" s="6"/>
      <c r="J443" s="6"/>
      <c r="K443" s="18"/>
      <c r="L443" s="6"/>
      <c r="M443" s="6"/>
      <c r="N443" s="76" t="e">
        <f>+N445</f>
        <v>#REF!</v>
      </c>
      <c r="O443" s="2" t="e">
        <f>+N443/#REF!-1</f>
        <v>#REF!</v>
      </c>
    </row>
    <row r="445" spans="1:15" s="2" customFormat="1" ht="15.6" x14ac:dyDescent="0.3">
      <c r="A445" s="59"/>
      <c r="B445" s="4" t="s">
        <v>102</v>
      </c>
      <c r="C445" s="1393" t="s">
        <v>103</v>
      </c>
      <c r="D445" s="1393"/>
      <c r="E445" s="4" t="s">
        <v>4</v>
      </c>
      <c r="F445" s="1398" t="e">
        <f>+ROUND(N374,4)&amp;" + "&amp;ROUND(N412,4)&amp;" + "&amp;ROUND(N419,4)&amp;" + "&amp;ROUND(N427,4)</f>
        <v>#REF!</v>
      </c>
      <c r="G445" s="1398"/>
      <c r="H445" s="1398"/>
      <c r="I445" s="1398"/>
      <c r="J445" s="4" t="s">
        <v>4</v>
      </c>
      <c r="K445" s="13"/>
      <c r="N445" s="90" t="e">
        <f>+N427+N419+N412+N374</f>
        <v>#REF!</v>
      </c>
      <c r="O445" s="2" t="e">
        <f>+N445/#REF!-1</f>
        <v>#REF!</v>
      </c>
    </row>
    <row r="448" spans="1:15" s="2" customFormat="1" x14ac:dyDescent="0.25">
      <c r="A448" s="59"/>
      <c r="B448" s="5" t="s">
        <v>104</v>
      </c>
      <c r="C448" s="6" t="s">
        <v>105</v>
      </c>
      <c r="D448" s="6"/>
      <c r="E448" s="6"/>
      <c r="F448" s="6"/>
      <c r="G448" s="7" t="s">
        <v>108</v>
      </c>
      <c r="H448" s="6"/>
      <c r="I448" s="6"/>
      <c r="J448" s="6"/>
      <c r="K448" s="18"/>
      <c r="L448" s="6"/>
      <c r="M448" s="6"/>
      <c r="N448" s="11"/>
    </row>
    <row r="451" spans="1:15" s="2" customFormat="1" x14ac:dyDescent="0.25">
      <c r="A451" s="59"/>
      <c r="B451" s="5" t="s">
        <v>109</v>
      </c>
      <c r="C451" s="6" t="s">
        <v>110</v>
      </c>
      <c r="D451" s="6"/>
      <c r="E451" s="6"/>
      <c r="F451" s="6"/>
      <c r="G451" s="7" t="s">
        <v>111</v>
      </c>
      <c r="H451" s="6"/>
      <c r="I451" s="6"/>
      <c r="J451" s="6"/>
      <c r="K451" s="18"/>
      <c r="L451" s="6"/>
      <c r="M451" s="6"/>
      <c r="N451" s="11"/>
    </row>
    <row r="454" spans="1:15" s="2" customFormat="1" x14ac:dyDescent="0.25">
      <c r="A454" s="59"/>
      <c r="B454" s="5" t="s">
        <v>112</v>
      </c>
      <c r="C454" s="6" t="s">
        <v>113</v>
      </c>
      <c r="D454" s="6"/>
      <c r="E454" s="6"/>
      <c r="F454" s="6"/>
      <c r="G454" s="7" t="s">
        <v>114</v>
      </c>
      <c r="H454" s="6"/>
      <c r="I454" s="6"/>
      <c r="J454" s="6"/>
      <c r="K454" s="18"/>
      <c r="L454" s="6"/>
      <c r="M454" s="6"/>
      <c r="N454" s="76">
        <f>+N496</f>
        <v>4.0137754302668194</v>
      </c>
      <c r="O454" s="2" t="e">
        <f>+N454/#REF!-1</f>
        <v>#REF!</v>
      </c>
    </row>
    <row r="456" spans="1:15" x14ac:dyDescent="0.25">
      <c r="B456" s="8" t="s">
        <v>115</v>
      </c>
    </row>
    <row r="458" spans="1:15" s="2" customFormat="1" x14ac:dyDescent="0.25">
      <c r="A458" s="59"/>
      <c r="B458" s="4" t="s">
        <v>116</v>
      </c>
      <c r="C458" s="1393" t="s">
        <v>342</v>
      </c>
      <c r="D458" s="1393"/>
      <c r="E458" s="1393"/>
      <c r="F458" s="1393"/>
      <c r="G458" s="1393" t="str">
        <f>0.02&amp;" . "&amp;K474&amp;" . "&amp;"["&amp;"("&amp;K466&amp;" - "&amp;K462&amp;")"&amp;"/"&amp;"("&amp;K468&amp;" . "&amp;K464&amp;")"&amp;" - "&amp;"0,05"&amp;" . "&amp;"("&amp;K470&amp;" - "&amp;K472&amp;")"&amp;"]"</f>
        <v>0,02 . 0,4207 . [(193800000 - 38760000)/(77614,7569949827 . 10) - 0,05 . (8 - 5)]</v>
      </c>
      <c r="H458" s="1393"/>
      <c r="I458" s="1393"/>
      <c r="J458" s="1393"/>
      <c r="K458" s="1393"/>
      <c r="L458" s="17" t="s">
        <v>4</v>
      </c>
      <c r="M458" s="13">
        <f>0.02*K474*(((K466-K462)/(K468*K464)))</f>
        <v>1.6807455315286615</v>
      </c>
      <c r="N458" s="2" t="e">
        <f>+M458/#REF!-1</f>
        <v>#REF!</v>
      </c>
    </row>
    <row r="459" spans="1:15" x14ac:dyDescent="0.25">
      <c r="B459" s="4"/>
    </row>
    <row r="460" spans="1:15" x14ac:dyDescent="0.25">
      <c r="B460" s="8" t="s">
        <v>5</v>
      </c>
    </row>
    <row r="462" spans="1:15" x14ac:dyDescent="0.25">
      <c r="B462" s="4" t="s">
        <v>183</v>
      </c>
      <c r="C462" s="8" t="s">
        <v>338</v>
      </c>
      <c r="K462" s="108">
        <f>+'Hoja Llave'!J35*O5</f>
        <v>38760000</v>
      </c>
    </row>
    <row r="463" spans="1:15" x14ac:dyDescent="0.25">
      <c r="B463" s="4"/>
    </row>
    <row r="464" spans="1:15" x14ac:dyDescent="0.25">
      <c r="B464" s="4" t="s">
        <v>179</v>
      </c>
      <c r="C464" s="8" t="s">
        <v>312</v>
      </c>
      <c r="K464" s="72">
        <v>10</v>
      </c>
    </row>
    <row r="465" spans="1:14" x14ac:dyDescent="0.25">
      <c r="B465" s="4"/>
    </row>
    <row r="466" spans="1:14" x14ac:dyDescent="0.25">
      <c r="B466" s="4" t="s">
        <v>303</v>
      </c>
      <c r="C466" s="8" t="s">
        <v>313</v>
      </c>
      <c r="K466" s="10">
        <f>+'Hoja Llave'!J56*O5</f>
        <v>193800000</v>
      </c>
    </row>
    <row r="467" spans="1:14" x14ac:dyDescent="0.25">
      <c r="B467" s="4"/>
    </row>
    <row r="468" spans="1:14" x14ac:dyDescent="0.25">
      <c r="B468" s="4" t="s">
        <v>329</v>
      </c>
      <c r="C468" s="8" t="s">
        <v>235</v>
      </c>
      <c r="K468" s="10">
        <f>+'Hoja Llave'!J33</f>
        <v>77614.756994982657</v>
      </c>
    </row>
    <row r="469" spans="1:14" x14ac:dyDescent="0.25">
      <c r="B469" s="4"/>
    </row>
    <row r="470" spans="1:14" ht="26.4" x14ac:dyDescent="0.25">
      <c r="A470" s="35" t="s">
        <v>428</v>
      </c>
      <c r="B470" s="4" t="s">
        <v>301</v>
      </c>
      <c r="C470" s="8" t="s">
        <v>314</v>
      </c>
      <c r="K470" s="10">
        <f>+'Hoja Llave'!J55</f>
        <v>8</v>
      </c>
    </row>
    <row r="471" spans="1:14" x14ac:dyDescent="0.25">
      <c r="B471" s="4"/>
    </row>
    <row r="472" spans="1:14" ht="26.4" x14ac:dyDescent="0.25">
      <c r="A472" s="35" t="s">
        <v>428</v>
      </c>
      <c r="B472" s="4" t="s">
        <v>315</v>
      </c>
      <c r="C472" s="8" t="s">
        <v>316</v>
      </c>
      <c r="K472" s="72">
        <f>+'Hoja Llave'!J58</f>
        <v>5</v>
      </c>
    </row>
    <row r="473" spans="1:14" x14ac:dyDescent="0.25">
      <c r="B473" s="4"/>
    </row>
    <row r="474" spans="1:14" x14ac:dyDescent="0.25">
      <c r="B474" s="4" t="s">
        <v>193</v>
      </c>
      <c r="C474" s="8" t="s">
        <v>317</v>
      </c>
      <c r="K474" s="10">
        <f>+'Hoja Llave'!J41</f>
        <v>0.42070000000000002</v>
      </c>
    </row>
    <row r="475" spans="1:14" x14ac:dyDescent="0.25">
      <c r="B475" s="4"/>
      <c r="C475" s="8"/>
    </row>
    <row r="476" spans="1:14" x14ac:dyDescent="0.25">
      <c r="B476" s="4"/>
      <c r="C476" s="8"/>
    </row>
    <row r="477" spans="1:14" x14ac:dyDescent="0.25">
      <c r="A477" s="59"/>
      <c r="B477" s="4" t="s">
        <v>318</v>
      </c>
      <c r="C477" s="1393" t="s">
        <v>341</v>
      </c>
      <c r="D477" s="1393"/>
      <c r="E477" s="1393"/>
      <c r="F477" s="1393"/>
      <c r="G477" s="1393" t="str">
        <f>0.02&amp;" . "&amp;K493&amp;" . "&amp;"["&amp;"("&amp;K485&amp;" - "&amp;K481&amp;")"&amp;"/"&amp;"("&amp;K487&amp;" . "&amp;K483&amp;")"&amp;" - "&amp;"0,05"&amp;" . "&amp;"("&amp;K489&amp;" - "&amp;K491&amp;")"&amp;"]"</f>
        <v>0,02 . 0,5793 . [(292600000 - 58520000)/(116245,869007801 . 10) - 0,05 . (8 - 5)]</v>
      </c>
      <c r="H477" s="1393"/>
      <c r="I477" s="1393"/>
      <c r="J477" s="1393"/>
      <c r="K477" s="1393"/>
      <c r="L477" s="8" t="s">
        <v>4</v>
      </c>
      <c r="M477" s="13">
        <f>0.02*K493*(((K485-K481)/(K487*K483)))</f>
        <v>2.3330298987381579</v>
      </c>
      <c r="N477" s="2" t="e">
        <f>+M477/#REF!-1</f>
        <v>#REF!</v>
      </c>
    </row>
    <row r="478" spans="1:14" x14ac:dyDescent="0.25">
      <c r="B478" s="4"/>
    </row>
    <row r="479" spans="1:14" x14ac:dyDescent="0.25">
      <c r="B479" s="8" t="s">
        <v>5</v>
      </c>
    </row>
    <row r="481" spans="1:15" s="19" customFormat="1" x14ac:dyDescent="0.25">
      <c r="A481" s="116"/>
      <c r="B481" s="61" t="s">
        <v>319</v>
      </c>
      <c r="C481" s="47" t="s">
        <v>339</v>
      </c>
      <c r="G481" s="46"/>
      <c r="K481" s="108">
        <f>+'Hoja Llave'!J36*O5</f>
        <v>58520000</v>
      </c>
      <c r="N481" s="20"/>
    </row>
    <row r="482" spans="1:15" x14ac:dyDescent="0.25">
      <c r="B482" s="4"/>
    </row>
    <row r="483" spans="1:15" x14ac:dyDescent="0.25">
      <c r="B483" s="4" t="s">
        <v>179</v>
      </c>
      <c r="C483" s="8" t="s">
        <v>312</v>
      </c>
      <c r="K483" s="72">
        <f>+'Hoja Llave'!J24</f>
        <v>10</v>
      </c>
    </row>
    <row r="484" spans="1:15" x14ac:dyDescent="0.25">
      <c r="B484" s="4"/>
    </row>
    <row r="485" spans="1:15" x14ac:dyDescent="0.25">
      <c r="B485" s="4" t="s">
        <v>306</v>
      </c>
      <c r="C485" s="8" t="s">
        <v>320</v>
      </c>
      <c r="K485" s="10">
        <f>+'Hoja Llave'!J57*O5</f>
        <v>292600000</v>
      </c>
    </row>
    <row r="486" spans="1:15" x14ac:dyDescent="0.25">
      <c r="B486" s="4"/>
    </row>
    <row r="487" spans="1:15" x14ac:dyDescent="0.25">
      <c r="B487" s="4" t="s">
        <v>234</v>
      </c>
      <c r="C487" s="8" t="s">
        <v>236</v>
      </c>
      <c r="K487" s="10">
        <f>+'Hoja Llave'!J34</f>
        <v>116245.86900780138</v>
      </c>
    </row>
    <row r="488" spans="1:15" x14ac:dyDescent="0.25">
      <c r="B488" s="4"/>
    </row>
    <row r="489" spans="1:15" ht="26.4" x14ac:dyDescent="0.25">
      <c r="A489" s="35" t="s">
        <v>428</v>
      </c>
      <c r="B489" s="4" t="s">
        <v>301</v>
      </c>
      <c r="C489" s="8" t="s">
        <v>314</v>
      </c>
      <c r="K489" s="10">
        <f>+'Hoja Llave'!J55</f>
        <v>8</v>
      </c>
    </row>
    <row r="490" spans="1:15" x14ac:dyDescent="0.25">
      <c r="B490" s="4"/>
    </row>
    <row r="491" spans="1:15" ht="26.4" x14ac:dyDescent="0.25">
      <c r="A491" s="35" t="s">
        <v>428</v>
      </c>
      <c r="B491" s="4" t="s">
        <v>315</v>
      </c>
      <c r="C491" s="8" t="s">
        <v>316</v>
      </c>
      <c r="K491" s="72">
        <f>+'Hoja Llave'!J58</f>
        <v>5</v>
      </c>
    </row>
    <row r="492" spans="1:15" x14ac:dyDescent="0.25">
      <c r="B492" s="4"/>
    </row>
    <row r="493" spans="1:15" x14ac:dyDescent="0.25">
      <c r="B493" s="4" t="s">
        <v>203</v>
      </c>
      <c r="C493" s="8" t="s">
        <v>321</v>
      </c>
      <c r="K493" s="10">
        <f>+'Hoja Llave'!J42</f>
        <v>0.57930000000000004</v>
      </c>
    </row>
    <row r="494" spans="1:15" x14ac:dyDescent="0.25">
      <c r="B494" s="4"/>
      <c r="C494" s="8"/>
    </row>
    <row r="495" spans="1:15" x14ac:dyDescent="0.25">
      <c r="B495" s="4"/>
      <c r="C495" s="8"/>
    </row>
    <row r="496" spans="1:15" s="2" customFormat="1" x14ac:dyDescent="0.25">
      <c r="A496" s="59"/>
      <c r="B496" s="4" t="s">
        <v>322</v>
      </c>
      <c r="C496" s="1393" t="s">
        <v>323</v>
      </c>
      <c r="D496" s="1393"/>
      <c r="E496" s="1393"/>
      <c r="F496" s="1393"/>
      <c r="G496" s="4" t="s">
        <v>4</v>
      </c>
      <c r="H496" s="1393" t="str">
        <f>+ROUND(M458,4)&amp;" + "&amp;ROUND(M477,4)</f>
        <v>1,6807 + 2,333</v>
      </c>
      <c r="I496" s="1393"/>
      <c r="J496" s="1393"/>
      <c r="K496" s="13" t="s">
        <v>4</v>
      </c>
      <c r="N496" s="80">
        <f>+M458+M477</f>
        <v>4.0137754302668194</v>
      </c>
      <c r="O496" s="2" t="e">
        <f>+N496/#REF!-1</f>
        <v>#REF!</v>
      </c>
    </row>
    <row r="497" spans="1:15" x14ac:dyDescent="0.25">
      <c r="B497" s="4"/>
    </row>
    <row r="498" spans="1:15" s="2" customFormat="1" x14ac:dyDescent="0.25">
      <c r="A498" s="59"/>
      <c r="B498" s="5" t="s">
        <v>117</v>
      </c>
      <c r="C498" s="6" t="s">
        <v>118</v>
      </c>
      <c r="D498" s="6"/>
      <c r="E498" s="6"/>
      <c r="F498" s="6"/>
      <c r="G498" s="7" t="s">
        <v>119</v>
      </c>
      <c r="H498" s="6"/>
      <c r="I498" s="6"/>
      <c r="J498" s="6"/>
      <c r="K498" s="18"/>
      <c r="L498" s="6"/>
      <c r="M498" s="6"/>
      <c r="N498" s="76" t="e">
        <f>+N502</f>
        <v>#REF!</v>
      </c>
      <c r="O498" s="2" t="e">
        <f>+N498/#REF!-1</f>
        <v>#REF!</v>
      </c>
    </row>
    <row r="500" spans="1:15" x14ac:dyDescent="0.25">
      <c r="B500" s="8" t="s">
        <v>120</v>
      </c>
    </row>
    <row r="502" spans="1:15" s="2" customFormat="1" ht="39.6" x14ac:dyDescent="0.25">
      <c r="A502" s="59" t="s">
        <v>429</v>
      </c>
      <c r="B502" s="4" t="s">
        <v>121</v>
      </c>
      <c r="C502" s="1393" t="s">
        <v>122</v>
      </c>
      <c r="D502" s="1393"/>
      <c r="E502" s="4" t="s">
        <v>4</v>
      </c>
      <c r="F502" s="1393" t="e">
        <f>0.1&amp;" . "&amp;ROUND(N412,4)</f>
        <v>#REF!</v>
      </c>
      <c r="G502" s="1393"/>
      <c r="H502" s="1393"/>
      <c r="I502" s="1393"/>
      <c r="J502" s="4" t="s">
        <v>4</v>
      </c>
      <c r="K502" s="13"/>
      <c r="N502" s="88" t="e">
        <f>0.1*N412</f>
        <v>#REF!</v>
      </c>
      <c r="O502" s="2" t="e">
        <f>+N502/#REF!-1</f>
        <v>#REF!</v>
      </c>
    </row>
    <row r="505" spans="1:15" s="2" customFormat="1" x14ac:dyDescent="0.25">
      <c r="A505" s="59"/>
      <c r="B505" s="5" t="s">
        <v>123</v>
      </c>
      <c r="C505" s="6" t="s">
        <v>124</v>
      </c>
      <c r="D505" s="6"/>
      <c r="E505" s="6"/>
      <c r="F505" s="6"/>
      <c r="G505" s="7" t="s">
        <v>129</v>
      </c>
      <c r="H505" s="6"/>
      <c r="I505" s="6"/>
      <c r="J505" s="6"/>
      <c r="K505" s="18"/>
      <c r="L505" s="6"/>
      <c r="M505" s="6"/>
      <c r="N505" s="76">
        <f>+N509</f>
        <v>4.2315370401249135</v>
      </c>
      <c r="O505" s="2" t="e">
        <f>+N505/#REF!-1</f>
        <v>#REF!</v>
      </c>
    </row>
    <row r="507" spans="1:15" x14ac:dyDescent="0.25">
      <c r="B507" s="8" t="s">
        <v>125</v>
      </c>
    </row>
    <row r="509" spans="1:15" s="2" customFormat="1" x14ac:dyDescent="0.25">
      <c r="A509" s="59"/>
      <c r="B509" s="21" t="s">
        <v>126</v>
      </c>
      <c r="C509" s="1400" t="s">
        <v>127</v>
      </c>
      <c r="D509" s="1400"/>
      <c r="E509" s="1389" t="s">
        <v>4</v>
      </c>
      <c r="F509" s="1401">
        <f>+K514</f>
        <v>423127.3</v>
      </c>
      <c r="G509" s="1401"/>
      <c r="H509" s="1401"/>
      <c r="I509" s="1401"/>
      <c r="J509" s="1389" t="s">
        <v>4</v>
      </c>
      <c r="K509" s="13"/>
      <c r="N509" s="80">
        <f>+F509/((K520*K518)+(K516*K522))</f>
        <v>4.2315370401249135</v>
      </c>
      <c r="O509" s="2" t="e">
        <f>+N509/#REF!-1</f>
        <v>#REF!</v>
      </c>
    </row>
    <row r="510" spans="1:15" s="2" customFormat="1" x14ac:dyDescent="0.25">
      <c r="A510" s="59"/>
      <c r="B510" s="21"/>
      <c r="C510" s="1389" t="s">
        <v>324</v>
      </c>
      <c r="D510" s="1389"/>
      <c r="E510" s="1389"/>
      <c r="F510" s="1396" t="str">
        <f>+K520&amp;" . "&amp;K518&amp;" + "&amp;K522&amp;" . "&amp;K516</f>
        <v>77614,7569949827 . 0,4207 + 116245,869007801 . 0,5793</v>
      </c>
      <c r="G510" s="1396"/>
      <c r="H510" s="1396"/>
      <c r="I510" s="1396"/>
      <c r="J510" s="1389"/>
      <c r="K510" s="13"/>
      <c r="N510" s="13"/>
    </row>
    <row r="512" spans="1:15" x14ac:dyDescent="0.25">
      <c r="B512" s="8" t="s">
        <v>5</v>
      </c>
    </row>
    <row r="514" spans="1:15" x14ac:dyDescent="0.25">
      <c r="A514" s="35" t="s">
        <v>404</v>
      </c>
      <c r="B514" s="2" t="s">
        <v>127</v>
      </c>
      <c r="C514" s="8" t="s">
        <v>325</v>
      </c>
      <c r="K514" s="72">
        <f>+'Hoja Llave'!J25*O5</f>
        <v>423127.3</v>
      </c>
    </row>
    <row r="516" spans="1:15" x14ac:dyDescent="0.25">
      <c r="B516" s="2" t="s">
        <v>203</v>
      </c>
      <c r="C516" s="8" t="s">
        <v>206</v>
      </c>
      <c r="K516" s="10">
        <f>+'Hoja Llave'!J42</f>
        <v>0.57930000000000004</v>
      </c>
    </row>
    <row r="518" spans="1:15" x14ac:dyDescent="0.25">
      <c r="B518" s="2" t="s">
        <v>193</v>
      </c>
      <c r="C518" s="8" t="s">
        <v>194</v>
      </c>
      <c r="K518" s="10">
        <f>+'Hoja Llave'!J41</f>
        <v>0.42070000000000002</v>
      </c>
    </row>
    <row r="520" spans="1:15" x14ac:dyDescent="0.25">
      <c r="B520" s="2" t="s">
        <v>333</v>
      </c>
      <c r="C520" s="8" t="s">
        <v>326</v>
      </c>
      <c r="K520" s="10">
        <f>+'Hoja Llave'!J33</f>
        <v>77614.756994982657</v>
      </c>
    </row>
    <row r="522" spans="1:15" x14ac:dyDescent="0.25">
      <c r="B522" s="2" t="s">
        <v>234</v>
      </c>
      <c r="C522" s="8" t="s">
        <v>327</v>
      </c>
      <c r="K522" s="10">
        <f>+'Hoja Llave'!J34</f>
        <v>116245.86900780138</v>
      </c>
    </row>
    <row r="524" spans="1:15" s="2" customFormat="1" x14ac:dyDescent="0.25">
      <c r="A524" s="59"/>
      <c r="B524" s="4" t="s">
        <v>164</v>
      </c>
      <c r="C524" s="1393" t="s">
        <v>130</v>
      </c>
      <c r="D524" s="1393"/>
      <c r="F524" s="1393" t="e">
        <f>+ROUND(N496,4)&amp;" + "&amp;ROUND(N502,4)&amp;" + "&amp;ROUND(N509,4)</f>
        <v>#REF!</v>
      </c>
      <c r="G524" s="1393"/>
      <c r="H524" s="1393"/>
      <c r="I524" s="1393"/>
      <c r="J524" s="4" t="s">
        <v>4</v>
      </c>
      <c r="K524" s="13"/>
      <c r="N524" s="80" t="e">
        <f>+N509+N502+N496</f>
        <v>#REF!</v>
      </c>
      <c r="O524" s="2" t="e">
        <f>+N524/#REF!-1</f>
        <v>#REF!</v>
      </c>
    </row>
    <row r="527" spans="1:15" s="2" customFormat="1" x14ac:dyDescent="0.25">
      <c r="A527" s="59"/>
      <c r="B527" s="5" t="s">
        <v>131</v>
      </c>
      <c r="C527" s="6" t="s">
        <v>132</v>
      </c>
      <c r="D527" s="6"/>
      <c r="E527" s="6"/>
      <c r="F527" s="6"/>
      <c r="G527" s="7" t="s">
        <v>153</v>
      </c>
      <c r="H527" s="6"/>
      <c r="I527" s="6"/>
      <c r="J527" s="6"/>
      <c r="K527" s="18"/>
      <c r="L527" s="6"/>
      <c r="M527" s="6"/>
      <c r="N527" s="76" t="e">
        <f>+N529</f>
        <v>#REF!</v>
      </c>
      <c r="O527" s="2" t="e">
        <f>+N527/#REF!-1</f>
        <v>#REF!</v>
      </c>
    </row>
    <row r="529" spans="1:15" s="2" customFormat="1" x14ac:dyDescent="0.25">
      <c r="A529" s="59" t="s">
        <v>430</v>
      </c>
      <c r="B529" s="4" t="s">
        <v>133</v>
      </c>
      <c r="C529" s="2" t="s">
        <v>138</v>
      </c>
      <c r="F529" s="1393" t="e">
        <f>0.03&amp;" . "&amp;"("&amp;ROUND(N181,4)&amp;" + "&amp;ROUND(N320,4)&amp;" + "&amp;ROUND(N445,4)&amp;" + "&amp;ROUND(N524,4)&amp;")"</f>
        <v>#REF!</v>
      </c>
      <c r="G529" s="1393"/>
      <c r="H529" s="1393"/>
      <c r="I529" s="1393"/>
      <c r="J529" s="1393"/>
      <c r="K529" s="14" t="s">
        <v>4</v>
      </c>
      <c r="N529" s="80" t="e">
        <f>0.03*(N181+N320+N445+N524)</f>
        <v>#REF!</v>
      </c>
      <c r="O529" s="2" t="e">
        <f>+N529/#REF!-1</f>
        <v>#REF!</v>
      </c>
    </row>
    <row r="532" spans="1:15" s="2" customFormat="1" x14ac:dyDescent="0.25">
      <c r="A532" s="59"/>
      <c r="B532" s="5" t="s">
        <v>134</v>
      </c>
      <c r="C532" s="6" t="s">
        <v>135</v>
      </c>
      <c r="D532" s="6"/>
      <c r="E532" s="6"/>
      <c r="F532" s="6"/>
      <c r="G532" s="7" t="s">
        <v>152</v>
      </c>
      <c r="H532" s="6"/>
      <c r="I532" s="6"/>
      <c r="J532" s="6"/>
      <c r="K532" s="18"/>
      <c r="L532" s="6"/>
      <c r="M532" s="6"/>
      <c r="N532" s="76">
        <f>+N534</f>
        <v>0</v>
      </c>
      <c r="O532" s="2" t="e">
        <f>+N532/#REF!-1</f>
        <v>#REF!</v>
      </c>
    </row>
    <row r="533" spans="1:15" x14ac:dyDescent="0.25">
      <c r="B533" s="4"/>
    </row>
    <row r="534" spans="1:15" s="2" customFormat="1" ht="39.6" x14ac:dyDescent="0.25">
      <c r="A534" s="59" t="s">
        <v>431</v>
      </c>
      <c r="B534" s="4" t="s">
        <v>136</v>
      </c>
      <c r="C534" s="2" t="s">
        <v>137</v>
      </c>
      <c r="F534" s="1393" t="e">
        <f>0.1&amp;" . "&amp;"("&amp;ROUND(N181,4)&amp;" + "&amp;ROUND(N320,4)&amp;" + "&amp;ROUND(N445,4)&amp;" + "&amp;ROUND(N524,4)&amp;" + "&amp;ROUND(N529,4)&amp;")"</f>
        <v>#REF!</v>
      </c>
      <c r="G534" s="1393"/>
      <c r="H534" s="1393"/>
      <c r="I534" s="1393"/>
      <c r="J534" s="1393"/>
      <c r="K534" s="50" t="s">
        <v>4</v>
      </c>
      <c r="N534" s="80">
        <v>0</v>
      </c>
      <c r="O534" s="2" t="e">
        <f>+N534/#REF!-1</f>
        <v>#REF!</v>
      </c>
    </row>
    <row r="537" spans="1:15" s="2" customFormat="1" x14ac:dyDescent="0.25">
      <c r="A537" s="59"/>
      <c r="B537" s="5" t="s">
        <v>139</v>
      </c>
      <c r="C537" s="6" t="s">
        <v>140</v>
      </c>
      <c r="D537" s="6"/>
      <c r="E537" s="6"/>
      <c r="F537" s="6"/>
      <c r="G537" s="7" t="s">
        <v>151</v>
      </c>
      <c r="H537" s="6"/>
      <c r="I537" s="6"/>
      <c r="J537" s="6"/>
      <c r="K537" s="18"/>
      <c r="L537" s="6"/>
      <c r="M537" s="6"/>
      <c r="N537" s="76" t="e">
        <f>+N565</f>
        <v>#REF!</v>
      </c>
      <c r="O537" s="2" t="e">
        <f>+N537/#REF!-1</f>
        <v>#REF!</v>
      </c>
    </row>
    <row r="539" spans="1:15" s="2" customFormat="1" x14ac:dyDescent="0.25">
      <c r="A539" s="59"/>
      <c r="B539" s="4" t="s">
        <v>141</v>
      </c>
      <c r="C539" s="2" t="s">
        <v>142</v>
      </c>
      <c r="F539" s="1393" t="e">
        <f>+L543&amp;" . "&amp;"("&amp;ROUND(N181,4)&amp;" + "&amp;ROUND(N320,4)&amp;" + "&amp;ROUND(N445,4)&amp;" + "&amp;ROUND(N524,4)&amp;" + "&amp;ROUND(N529,4)&amp;" + "&amp;ROUND(N534,4)&amp;")"</f>
        <v>#REF!</v>
      </c>
      <c r="G539" s="1393"/>
      <c r="H539" s="1393"/>
      <c r="I539" s="1393"/>
      <c r="J539" s="1393"/>
      <c r="K539" s="1393"/>
      <c r="L539" s="4" t="s">
        <v>4</v>
      </c>
      <c r="N539" s="80" t="e">
        <f>+L543*(N181+N320+N445+N524+N529+N534)</f>
        <v>#REF!</v>
      </c>
      <c r="O539" s="2" t="e">
        <f>+N539/#REF!-1</f>
        <v>#REF!</v>
      </c>
    </row>
    <row r="541" spans="1:15" x14ac:dyDescent="0.25">
      <c r="B541" s="8" t="s">
        <v>5</v>
      </c>
    </row>
    <row r="543" spans="1:15" x14ac:dyDescent="0.25">
      <c r="B543" s="2" t="s">
        <v>143</v>
      </c>
      <c r="C543" s="8" t="s">
        <v>385</v>
      </c>
      <c r="L543" s="89">
        <f>+'Hoja Llave'!J26</f>
        <v>0</v>
      </c>
    </row>
    <row r="544" spans="1:15" x14ac:dyDescent="0.25">
      <c r="C544" s="8" t="s">
        <v>343</v>
      </c>
    </row>
    <row r="545" spans="1:15" x14ac:dyDescent="0.25">
      <c r="C545" s="8"/>
    </row>
    <row r="546" spans="1:15" s="2" customFormat="1" x14ac:dyDescent="0.25">
      <c r="A546" s="59"/>
      <c r="B546" s="2" t="s">
        <v>344</v>
      </c>
      <c r="C546" s="1390" t="s">
        <v>348</v>
      </c>
      <c r="D546" s="1390"/>
      <c r="E546" s="1390"/>
      <c r="F546" s="1390" t="str">
        <f>+K550&amp;" . "&amp;"("&amp;K554&amp;" . "&amp;"("&amp;"("&amp;"0,70"&amp;" . "&amp;"41"&amp;")"&amp;" + "&amp;"("&amp;"0,30"&amp;" . "&amp;"45"&amp;")"&amp;")"&amp;")"</f>
        <v>294 . (0,4207 . ((0,70 . 41) + (0,30 . 45)))</v>
      </c>
      <c r="G546" s="1390"/>
      <c r="H546" s="1390"/>
      <c r="I546" s="1390"/>
      <c r="J546" s="1390"/>
      <c r="K546" s="13" t="s">
        <v>4</v>
      </c>
      <c r="N546" s="80">
        <f>+(K550*(K554*((0.7*0.41)+(0.3*45))))/K552</f>
        <v>2.1970771933361014E-2</v>
      </c>
      <c r="O546" s="2" t="e">
        <f>+N546/#REF!-1</f>
        <v>#REF!</v>
      </c>
    </row>
    <row r="547" spans="1:15" s="2" customFormat="1" x14ac:dyDescent="0.25">
      <c r="A547" s="59"/>
      <c r="C547" s="1393" t="s">
        <v>333</v>
      </c>
      <c r="D547" s="1393"/>
      <c r="F547" s="1399">
        <f>+K552</f>
        <v>77614.756994982657</v>
      </c>
      <c r="G547" s="1399"/>
      <c r="H547" s="1399"/>
      <c r="I547" s="1399"/>
      <c r="J547" s="1399"/>
      <c r="K547" s="13"/>
      <c r="N547" s="13"/>
    </row>
    <row r="548" spans="1:15" x14ac:dyDescent="0.25">
      <c r="B548" s="8" t="s">
        <v>5</v>
      </c>
      <c r="C548" s="8"/>
    </row>
    <row r="549" spans="1:15" x14ac:dyDescent="0.25">
      <c r="C549" s="8"/>
    </row>
    <row r="550" spans="1:15" x14ac:dyDescent="0.25">
      <c r="B550" s="2" t="s">
        <v>345</v>
      </c>
      <c r="C550" s="8" t="s">
        <v>346</v>
      </c>
      <c r="K550" s="72">
        <f>+'Hoja Llave'!J59*O5</f>
        <v>294</v>
      </c>
    </row>
    <row r="551" spans="1:15" x14ac:dyDescent="0.25">
      <c r="C551" s="8"/>
    </row>
    <row r="552" spans="1:15" x14ac:dyDescent="0.25">
      <c r="B552" s="2" t="s">
        <v>333</v>
      </c>
      <c r="C552" s="8" t="s">
        <v>235</v>
      </c>
      <c r="K552" s="10">
        <f>+'Hoja Llave'!J33</f>
        <v>77614.756994982657</v>
      </c>
    </row>
    <row r="553" spans="1:15" x14ac:dyDescent="0.25">
      <c r="C553" s="8"/>
    </row>
    <row r="554" spans="1:15" x14ac:dyDescent="0.25">
      <c r="B554" s="2" t="s">
        <v>193</v>
      </c>
      <c r="C554" s="8" t="s">
        <v>194</v>
      </c>
      <c r="K554" s="10">
        <f>+'Hoja Llave'!J41</f>
        <v>0.42070000000000002</v>
      </c>
    </row>
    <row r="555" spans="1:15" x14ac:dyDescent="0.25">
      <c r="C555" s="8"/>
    </row>
    <row r="556" spans="1:15" x14ac:dyDescent="0.25">
      <c r="C556" s="8"/>
    </row>
    <row r="557" spans="1:15" s="2" customFormat="1" x14ac:dyDescent="0.25">
      <c r="A557" s="59"/>
      <c r="B557" s="2" t="s">
        <v>347</v>
      </c>
      <c r="C557" s="53" t="s">
        <v>349</v>
      </c>
      <c r="D557" s="53"/>
      <c r="E557" s="25"/>
      <c r="F557" s="1390" t="str">
        <f>+K559&amp;" . "&amp;"("&amp;K563&amp;" . "&amp;"("&amp;"("&amp;"0,15"&amp;" . "&amp;"41"&amp;")"&amp;" + "&amp;"("&amp;"0,45"&amp;" . "&amp;"45"&amp;")"&amp;" + "&amp;"("&amp;"0,40"&amp;" . "&amp;"50"&amp;")"&amp;")"&amp;")"</f>
        <v>294 . (0,5793 . ((0,15 . 41) + (0,45 . 45) + (0,40 . 50)))</v>
      </c>
      <c r="G557" s="1390"/>
      <c r="H557" s="1390"/>
      <c r="I557" s="1390"/>
      <c r="J557" s="1390"/>
      <c r="K557" s="13" t="s">
        <v>4</v>
      </c>
      <c r="N557" s="80">
        <f>+(K559*(K563*((0.15*0.41)+(0.45*45)+(0.4*50))))/K561</f>
        <v>5.9061203050916507E-2</v>
      </c>
      <c r="O557" s="2" t="e">
        <f>+N557/#REF!-1</f>
        <v>#REF!</v>
      </c>
    </row>
    <row r="558" spans="1:15" s="2" customFormat="1" x14ac:dyDescent="0.25">
      <c r="A558" s="59"/>
      <c r="C558" s="1402" t="s">
        <v>334</v>
      </c>
      <c r="D558" s="1402"/>
      <c r="E558" s="1402"/>
      <c r="F558" s="1399">
        <f>+K561</f>
        <v>116245.86900780138</v>
      </c>
      <c r="G558" s="1399"/>
      <c r="H558" s="1399"/>
      <c r="I558" s="1399"/>
      <c r="J558" s="1399"/>
      <c r="K558" s="13"/>
      <c r="N558" s="13"/>
    </row>
    <row r="559" spans="1:15" x14ac:dyDescent="0.25">
      <c r="B559" s="2" t="s">
        <v>345</v>
      </c>
      <c r="C559" s="8" t="s">
        <v>346</v>
      </c>
      <c r="K559" s="10">
        <f>+'Hoja Llave'!J59*O5</f>
        <v>294</v>
      </c>
    </row>
    <row r="560" spans="1:15" x14ac:dyDescent="0.25">
      <c r="C560" s="8"/>
    </row>
    <row r="561" spans="1:16" x14ac:dyDescent="0.25">
      <c r="B561" s="2" t="s">
        <v>234</v>
      </c>
      <c r="C561" s="8" t="s">
        <v>236</v>
      </c>
      <c r="K561" s="10">
        <f>+'Hoja Llave'!J34</f>
        <v>116245.86900780138</v>
      </c>
    </row>
    <row r="562" spans="1:16" x14ac:dyDescent="0.25">
      <c r="C562" s="8"/>
    </row>
    <row r="563" spans="1:16" x14ac:dyDescent="0.25">
      <c r="B563" s="2" t="s">
        <v>203</v>
      </c>
      <c r="C563" s="8" t="s">
        <v>206</v>
      </c>
      <c r="K563" s="10">
        <f>+'Hoja Llave'!J42</f>
        <v>0.57930000000000004</v>
      </c>
    </row>
    <row r="564" spans="1:16" x14ac:dyDescent="0.25">
      <c r="C564" s="8"/>
    </row>
    <row r="565" spans="1:16" s="2" customFormat="1" x14ac:dyDescent="0.25">
      <c r="A565" s="59"/>
      <c r="B565" s="2" t="s">
        <v>350</v>
      </c>
      <c r="C565" s="1393" t="s">
        <v>351</v>
      </c>
      <c r="D565" s="1393"/>
      <c r="E565" s="1393"/>
      <c r="F565" s="2" t="s">
        <v>4</v>
      </c>
      <c r="G565" s="1393" t="e">
        <f>+ROUND(N539,4)&amp;" + "&amp;ROUND(N546,4)&amp;" + "&amp;ROUND(N557,4)</f>
        <v>#REF!</v>
      </c>
      <c r="H565" s="1393"/>
      <c r="I565" s="1393"/>
      <c r="J565" s="1393"/>
      <c r="K565" s="13" t="s">
        <v>4</v>
      </c>
      <c r="N565" s="80" t="e">
        <f>+N557+N546+N539</f>
        <v>#REF!</v>
      </c>
      <c r="O565" s="2" t="e">
        <f>+N565/#REF!-1</f>
        <v>#REF!</v>
      </c>
    </row>
    <row r="566" spans="1:16" x14ac:dyDescent="0.25">
      <c r="C566" s="8"/>
    </row>
    <row r="567" spans="1:16" x14ac:dyDescent="0.25">
      <c r="C567" s="8"/>
    </row>
    <row r="568" spans="1:16" s="2" customFormat="1" ht="15.6" x14ac:dyDescent="0.3">
      <c r="A568" s="59"/>
      <c r="B568" s="5" t="s">
        <v>144</v>
      </c>
      <c r="C568" s="6" t="s">
        <v>145</v>
      </c>
      <c r="D568" s="6"/>
      <c r="E568" s="6"/>
      <c r="F568" s="1397" t="e">
        <f>+ROUND(N524,4)&amp;" + "&amp;ROUND(N529,4)&amp;" + "&amp;ROUND(N534,4)&amp;" + "&amp;ROUND(N565,4)</f>
        <v>#REF!</v>
      </c>
      <c r="G568" s="1397"/>
      <c r="H568" s="1397"/>
      <c r="I568" s="1397"/>
      <c r="J568" s="7"/>
      <c r="K568" s="18" t="s">
        <v>4</v>
      </c>
      <c r="L568" s="6"/>
      <c r="M568" s="6"/>
      <c r="N568" s="90" t="e">
        <f>+N524+N529+N534+N565</f>
        <v>#REF!</v>
      </c>
      <c r="O568" s="2" t="e">
        <f>+N568/#REF!-1</f>
        <v>#REF!</v>
      </c>
    </row>
    <row r="571" spans="1:16" s="2" customFormat="1" x14ac:dyDescent="0.25">
      <c r="A571" s="59"/>
      <c r="B571" s="5" t="s">
        <v>150</v>
      </c>
      <c r="C571" s="6"/>
      <c r="D571" s="6"/>
      <c r="E571" s="6"/>
      <c r="F571" s="6"/>
      <c r="G571" s="7"/>
      <c r="H571" s="6"/>
      <c r="I571" s="6"/>
      <c r="J571" s="6"/>
      <c r="K571" s="18"/>
      <c r="L571" s="6"/>
      <c r="M571" s="6"/>
      <c r="N571" s="11"/>
    </row>
    <row r="573" spans="1:16" x14ac:dyDescent="0.25">
      <c r="B573" s="8" t="s">
        <v>146</v>
      </c>
    </row>
    <row r="575" spans="1:16" s="2" customFormat="1" ht="15.6" x14ac:dyDescent="0.3">
      <c r="A575" s="59"/>
      <c r="B575" s="2" t="s">
        <v>147</v>
      </c>
      <c r="C575" s="1393" t="s">
        <v>165</v>
      </c>
      <c r="D575" s="1393"/>
      <c r="E575" s="4" t="s">
        <v>4</v>
      </c>
      <c r="F575" s="1398" t="e">
        <f>+ROUND(N181,4)&amp;" + "&amp;ROUND(N320,4)&amp;" + "&amp;ROUND(N445,4)&amp;" + "&amp;ROUND(N568,4)</f>
        <v>#REF!</v>
      </c>
      <c r="G575" s="1398"/>
      <c r="H575" s="1398"/>
      <c r="I575" s="1398"/>
      <c r="J575" s="4" t="s">
        <v>4</v>
      </c>
      <c r="K575" s="13"/>
      <c r="N575" s="90" t="e">
        <f>+N181+N320+N445+N568</f>
        <v>#REF!</v>
      </c>
      <c r="O575" s="2" t="e">
        <f>+N575/#REF!-1</f>
        <v>#REF!</v>
      </c>
      <c r="P575" s="2" t="e">
        <f>+N575/#REF!-1</f>
        <v>#REF!</v>
      </c>
    </row>
    <row r="577" spans="1:18" x14ac:dyDescent="0.25">
      <c r="R577" s="8"/>
    </row>
    <row r="578" spans="1:18" s="2" customFormat="1" x14ac:dyDescent="0.25">
      <c r="A578" s="59"/>
      <c r="B578" s="5" t="s">
        <v>352</v>
      </c>
      <c r="C578" s="6"/>
      <c r="D578" s="6"/>
      <c r="E578" s="6"/>
      <c r="F578" s="6"/>
      <c r="G578" s="7" t="s">
        <v>353</v>
      </c>
      <c r="H578" s="6"/>
      <c r="I578" s="6"/>
      <c r="J578" s="6"/>
      <c r="K578" s="18"/>
      <c r="L578" s="6"/>
      <c r="M578" s="6"/>
      <c r="N578" s="11"/>
    </row>
    <row r="580" spans="1:18" s="2" customFormat="1" x14ac:dyDescent="0.25">
      <c r="A580" s="59"/>
      <c r="B580" s="1389" t="s">
        <v>354</v>
      </c>
      <c r="C580" s="1390" t="s">
        <v>355</v>
      </c>
      <c r="D580" s="1390"/>
      <c r="E580" s="1389"/>
      <c r="F580" s="1391">
        <f>+K585</f>
        <v>12082640184</v>
      </c>
      <c r="G580" s="1391"/>
      <c r="H580" s="1391"/>
      <c r="I580" s="1391"/>
      <c r="J580" s="1389" t="s">
        <v>4</v>
      </c>
      <c r="K580" s="13"/>
      <c r="N580" s="23" t="e">
        <f>+K585/(K587*K589)</f>
        <v>#REF!</v>
      </c>
      <c r="R580" s="69"/>
    </row>
    <row r="581" spans="1:18" s="2" customFormat="1" x14ac:dyDescent="0.25">
      <c r="A581" s="59"/>
      <c r="B581" s="1389"/>
      <c r="C581" s="1393" t="s">
        <v>361</v>
      </c>
      <c r="D581" s="1393"/>
      <c r="E581" s="1389"/>
      <c r="F581" s="1395" t="e">
        <f>+K587&amp;" . "&amp;ROUND(K589,4)</f>
        <v>#REF!</v>
      </c>
      <c r="G581" s="1395"/>
      <c r="H581" s="1395"/>
      <c r="I581" s="1395"/>
      <c r="J581" s="1389"/>
      <c r="K581" s="13"/>
      <c r="N581" s="13"/>
      <c r="P581" s="12"/>
      <c r="R581" s="69"/>
    </row>
    <row r="582" spans="1:18" x14ac:dyDescent="0.25">
      <c r="P582" s="67"/>
      <c r="Q582" s="2"/>
      <c r="R582" s="69"/>
    </row>
    <row r="583" spans="1:18" x14ac:dyDescent="0.25">
      <c r="B583" s="8" t="s">
        <v>5</v>
      </c>
      <c r="Q583" s="9"/>
    </row>
    <row r="584" spans="1:18" x14ac:dyDescent="0.25">
      <c r="Q584" s="9"/>
    </row>
    <row r="585" spans="1:18" x14ac:dyDescent="0.25">
      <c r="B585" s="2" t="s">
        <v>355</v>
      </c>
      <c r="C585" s="8" t="s">
        <v>357</v>
      </c>
      <c r="K585" s="111">
        <f>+'Hoja Llave'!J60</f>
        <v>12082640184</v>
      </c>
      <c r="Q585" s="64"/>
    </row>
    <row r="587" spans="1:18" x14ac:dyDescent="0.25">
      <c r="B587" s="2" t="s">
        <v>180</v>
      </c>
      <c r="C587" s="8" t="s">
        <v>181</v>
      </c>
      <c r="K587" s="10">
        <f>+'Hoja Llave'!J27</f>
        <v>6848483</v>
      </c>
    </row>
    <row r="589" spans="1:18" x14ac:dyDescent="0.25">
      <c r="B589" s="2" t="s">
        <v>356</v>
      </c>
      <c r="C589" s="8" t="s">
        <v>358</v>
      </c>
      <c r="K589" s="10" t="e">
        <f>+#REF!</f>
        <v>#REF!</v>
      </c>
    </row>
    <row r="592" spans="1:18" s="2" customFormat="1" x14ac:dyDescent="0.25">
      <c r="A592" s="59"/>
      <c r="B592" s="5" t="s">
        <v>148</v>
      </c>
      <c r="C592" s="6"/>
      <c r="D592" s="6"/>
      <c r="E592" s="6"/>
      <c r="F592" s="6"/>
      <c r="G592" s="7" t="s">
        <v>149</v>
      </c>
      <c r="H592" s="6"/>
      <c r="I592" s="6"/>
      <c r="J592" s="6"/>
      <c r="K592" s="18"/>
      <c r="L592" s="6"/>
      <c r="M592" s="6"/>
      <c r="N592" s="11"/>
    </row>
    <row r="593" spans="1:15" s="2" customFormat="1" x14ac:dyDescent="0.25">
      <c r="A593" s="59"/>
      <c r="G593" s="4"/>
      <c r="K593" s="13"/>
      <c r="N593" s="13"/>
    </row>
    <row r="594" spans="1:15" s="2" customFormat="1" x14ac:dyDescent="0.25">
      <c r="A594" s="59"/>
      <c r="G594" s="4"/>
      <c r="K594" s="13"/>
      <c r="N594" s="13"/>
    </row>
    <row r="595" spans="1:15" s="2" customFormat="1" ht="17.399999999999999" x14ac:dyDescent="0.3">
      <c r="A595" s="59"/>
      <c r="B595" s="2" t="s">
        <v>154</v>
      </c>
      <c r="C595" s="1390" t="s">
        <v>398</v>
      </c>
      <c r="D595" s="1390"/>
      <c r="E595" s="1389" t="s">
        <v>4</v>
      </c>
      <c r="F595" s="1392" t="e">
        <f>+N575</f>
        <v>#REF!</v>
      </c>
      <c r="G595" s="1392"/>
      <c r="H595" s="1392"/>
      <c r="I595" s="1392"/>
      <c r="J595" s="1389" t="s">
        <v>4</v>
      </c>
      <c r="K595" s="13" t="e">
        <f>+F595/F596</f>
        <v>#REF!</v>
      </c>
      <c r="N595" s="93" t="e">
        <f>+F595/F596</f>
        <v>#REF!</v>
      </c>
      <c r="O595" s="2" t="e">
        <f>+N595/#REF!-1</f>
        <v>#REF!</v>
      </c>
    </row>
    <row r="596" spans="1:15" s="2" customFormat="1" x14ac:dyDescent="0.25">
      <c r="A596" s="59"/>
      <c r="C596" s="1393" t="s">
        <v>353</v>
      </c>
      <c r="D596" s="1393"/>
      <c r="E596" s="1389"/>
      <c r="F596" s="1394" t="e">
        <f>+N580</f>
        <v>#REF!</v>
      </c>
      <c r="G596" s="1394"/>
      <c r="H596" s="1394"/>
      <c r="I596" s="1394"/>
      <c r="J596" s="1389"/>
      <c r="K596" s="13"/>
      <c r="N596" s="13"/>
    </row>
    <row r="598" spans="1:15" x14ac:dyDescent="0.25">
      <c r="B598" s="25"/>
      <c r="C598" s="26"/>
      <c r="D598" s="26"/>
      <c r="E598" s="26"/>
      <c r="F598" s="26"/>
      <c r="G598" s="22"/>
      <c r="H598" s="26"/>
      <c r="I598" s="26"/>
      <c r="J598" s="26"/>
      <c r="K598" s="27"/>
      <c r="L598" s="26"/>
      <c r="M598" s="26"/>
      <c r="N598" s="27"/>
    </row>
    <row r="600" spans="1:15" x14ac:dyDescent="0.25">
      <c r="F600" s="8"/>
      <c r="K600" s="64"/>
    </row>
    <row r="601" spans="1:15" x14ac:dyDescent="0.25">
      <c r="K601" s="65" t="e">
        <f>+K595/#REF!-1</f>
        <v>#REF!</v>
      </c>
    </row>
  </sheetData>
  <mergeCells count="192">
    <mergeCell ref="J5:J6"/>
    <mergeCell ref="K5:K6"/>
    <mergeCell ref="C6:D6"/>
    <mergeCell ref="F6:I6"/>
    <mergeCell ref="B14:B15"/>
    <mergeCell ref="K14:K15"/>
    <mergeCell ref="C15:H15"/>
    <mergeCell ref="C44:E44"/>
    <mergeCell ref="G44:H44"/>
    <mergeCell ref="C48:E48"/>
    <mergeCell ref="B5:B6"/>
    <mergeCell ref="C5:D5"/>
    <mergeCell ref="E5:E6"/>
    <mergeCell ref="F5:I5"/>
    <mergeCell ref="C25:E25"/>
    <mergeCell ref="G25:I25"/>
    <mergeCell ref="C26:E26"/>
    <mergeCell ref="G26:I26"/>
    <mergeCell ref="C34:E34"/>
    <mergeCell ref="C35:G35"/>
    <mergeCell ref="B59:B60"/>
    <mergeCell ref="C59:D59"/>
    <mergeCell ref="E59:E60"/>
    <mergeCell ref="F59:I59"/>
    <mergeCell ref="C49:E49"/>
    <mergeCell ref="C51:E51"/>
    <mergeCell ref="C52:E52"/>
    <mergeCell ref="J59:J60"/>
    <mergeCell ref="C60:D60"/>
    <mergeCell ref="F60:I60"/>
    <mergeCell ref="F135:I135"/>
    <mergeCell ref="J135:J136"/>
    <mergeCell ref="K135:K136"/>
    <mergeCell ref="C136:D136"/>
    <mergeCell ref="F136:I136"/>
    <mergeCell ref="C86:E86"/>
    <mergeCell ref="C91:E91"/>
    <mergeCell ref="G91:I91"/>
    <mergeCell ref="B69:B70"/>
    <mergeCell ref="K69:K70"/>
    <mergeCell ref="C70:H70"/>
    <mergeCell ref="C76:E76"/>
    <mergeCell ref="G76:I76"/>
    <mergeCell ref="C77:E77"/>
    <mergeCell ref="G77:I77"/>
    <mergeCell ref="C153:D153"/>
    <mergeCell ref="F153:I153"/>
    <mergeCell ref="C160:D160"/>
    <mergeCell ref="F160:I160"/>
    <mergeCell ref="G272:J272"/>
    <mergeCell ref="B280:B281"/>
    <mergeCell ref="C280:J281"/>
    <mergeCell ref="C96:D96"/>
    <mergeCell ref="F96:I96"/>
    <mergeCell ref="C98:D98"/>
    <mergeCell ref="B103:B104"/>
    <mergeCell ref="C103:N104"/>
    <mergeCell ref="F110:I110"/>
    <mergeCell ref="B164:B165"/>
    <mergeCell ref="C164:D164"/>
    <mergeCell ref="E164:E165"/>
    <mergeCell ref="F164:I164"/>
    <mergeCell ref="J164:J165"/>
    <mergeCell ref="C165:D165"/>
    <mergeCell ref="F165:I165"/>
    <mergeCell ref="B130:N131"/>
    <mergeCell ref="B135:B136"/>
    <mergeCell ref="C135:D135"/>
    <mergeCell ref="E135:E136"/>
    <mergeCell ref="F181:J181"/>
    <mergeCell ref="B213:B214"/>
    <mergeCell ref="C213:D213"/>
    <mergeCell ref="E213:E214"/>
    <mergeCell ref="F213:I213"/>
    <mergeCell ref="J213:J214"/>
    <mergeCell ref="C297:J298"/>
    <mergeCell ref="C300:E300"/>
    <mergeCell ref="G300:I300"/>
    <mergeCell ref="C214:D214"/>
    <mergeCell ref="F214:I214"/>
    <mergeCell ref="F227:I227"/>
    <mergeCell ref="C329:D329"/>
    <mergeCell ref="F329:I329"/>
    <mergeCell ref="C305:D305"/>
    <mergeCell ref="F305:I305"/>
    <mergeCell ref="C241:E241"/>
    <mergeCell ref="G241:J241"/>
    <mergeCell ref="C249:J249"/>
    <mergeCell ref="C267:N268"/>
    <mergeCell ref="C272:E272"/>
    <mergeCell ref="J310:J311"/>
    <mergeCell ref="C311:D311"/>
    <mergeCell ref="F311:I311"/>
    <mergeCell ref="K280:K281"/>
    <mergeCell ref="C350:D350"/>
    <mergeCell ref="F350:I350"/>
    <mergeCell ref="C351:D351"/>
    <mergeCell ref="F351:I351"/>
    <mergeCell ref="C364:D364"/>
    <mergeCell ref="F364:I364"/>
    <mergeCell ref="C320:D320"/>
    <mergeCell ref="F320:J320"/>
    <mergeCell ref="B283:B284"/>
    <mergeCell ref="C283:J284"/>
    <mergeCell ref="C287:F287"/>
    <mergeCell ref="G287:J287"/>
    <mergeCell ref="B297:B298"/>
    <mergeCell ref="C341:D341"/>
    <mergeCell ref="F341:I341"/>
    <mergeCell ref="B310:B311"/>
    <mergeCell ref="C310:D310"/>
    <mergeCell ref="E310:E311"/>
    <mergeCell ref="F310:I310"/>
    <mergeCell ref="B328:B329"/>
    <mergeCell ref="C328:D328"/>
    <mergeCell ref="E328:E329"/>
    <mergeCell ref="F328:I328"/>
    <mergeCell ref="J328:J329"/>
    <mergeCell ref="B395:B396"/>
    <mergeCell ref="C395:D395"/>
    <mergeCell ref="E395:E396"/>
    <mergeCell ref="F395:I395"/>
    <mergeCell ref="J395:J396"/>
    <mergeCell ref="C396:D396"/>
    <mergeCell ref="F396:I396"/>
    <mergeCell ref="C374:D374"/>
    <mergeCell ref="F374:I374"/>
    <mergeCell ref="B379:B380"/>
    <mergeCell ref="C379:D379"/>
    <mergeCell ref="E379:E380"/>
    <mergeCell ref="F379:I379"/>
    <mergeCell ref="C496:F496"/>
    <mergeCell ref="H496:J496"/>
    <mergeCell ref="C502:D502"/>
    <mergeCell ref="F502:I502"/>
    <mergeCell ref="C477:F477"/>
    <mergeCell ref="G477:K477"/>
    <mergeCell ref="J379:J380"/>
    <mergeCell ref="C380:D380"/>
    <mergeCell ref="F380:I380"/>
    <mergeCell ref="C412:E412"/>
    <mergeCell ref="G412:J412"/>
    <mergeCell ref="C419:D419"/>
    <mergeCell ref="F419:I419"/>
    <mergeCell ref="B424:N425"/>
    <mergeCell ref="B427:B428"/>
    <mergeCell ref="C445:D445"/>
    <mergeCell ref="F445:I445"/>
    <mergeCell ref="C458:F458"/>
    <mergeCell ref="G458:K458"/>
    <mergeCell ref="C427:D427"/>
    <mergeCell ref="E427:E428"/>
    <mergeCell ref="F427:I427"/>
    <mergeCell ref="J427:J428"/>
    <mergeCell ref="C428:D428"/>
    <mergeCell ref="F428:I428"/>
    <mergeCell ref="F568:I568"/>
    <mergeCell ref="C575:D575"/>
    <mergeCell ref="F575:I575"/>
    <mergeCell ref="F558:J558"/>
    <mergeCell ref="C509:D509"/>
    <mergeCell ref="E509:E510"/>
    <mergeCell ref="F509:I509"/>
    <mergeCell ref="J509:J510"/>
    <mergeCell ref="C510:D510"/>
    <mergeCell ref="F510:I510"/>
    <mergeCell ref="C524:D524"/>
    <mergeCell ref="F524:I524"/>
    <mergeCell ref="F529:J529"/>
    <mergeCell ref="F534:J534"/>
    <mergeCell ref="F539:K539"/>
    <mergeCell ref="C546:E546"/>
    <mergeCell ref="F546:J546"/>
    <mergeCell ref="C547:D547"/>
    <mergeCell ref="F547:J547"/>
    <mergeCell ref="F557:J557"/>
    <mergeCell ref="C558:E558"/>
    <mergeCell ref="C565:E565"/>
    <mergeCell ref="G565:J565"/>
    <mergeCell ref="B580:B581"/>
    <mergeCell ref="C580:D580"/>
    <mergeCell ref="E580:E581"/>
    <mergeCell ref="F580:I580"/>
    <mergeCell ref="J580:J581"/>
    <mergeCell ref="C595:D595"/>
    <mergeCell ref="E595:E596"/>
    <mergeCell ref="F595:I595"/>
    <mergeCell ref="J595:J596"/>
    <mergeCell ref="C596:D596"/>
    <mergeCell ref="F596:I596"/>
    <mergeCell ref="C581:D581"/>
    <mergeCell ref="F581:I581"/>
  </mergeCells>
  <pageMargins left="0.62992125984251968" right="0.51181102362204722" top="1.1023622047244095" bottom="0.51181102362204722" header="0.35433070866141736" footer="0"/>
  <pageSetup scale="42" fitToHeight="14" orientation="landscape" r:id="rId1"/>
  <headerFooter alignWithMargins="0">
    <oddHeader>&amp;L&amp;G&amp;R&amp;8Cdor.Lucas S. Gonzalez</oddHeader>
    <oddFooter>&amp;CPAGINA &amp;P / &amp;N</oddFooter>
  </headerFooter>
  <rowBreaks count="8" manualBreakCount="8">
    <brk id="104" max="16383" man="1"/>
    <brk id="155" max="16383" man="1"/>
    <brk id="208" max="16383" man="1"/>
    <brk id="302" max="16383" man="1"/>
    <brk id="356" min="1" max="13" man="1"/>
    <brk id="412" max="16383" man="1"/>
    <brk id="504" max="16383" man="1"/>
    <brk id="561" min="1" max="13" man="1"/>
  </rowBreaks>
  <legacyDrawingHF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B1" zoomScale="80" zoomScaleNormal="80" workbookViewId="0">
      <selection activeCell="M38" sqref="M38"/>
    </sheetView>
  </sheetViews>
  <sheetFormatPr baseColWidth="10" defaultColWidth="11.44140625" defaultRowHeight="13.8" x14ac:dyDescent="0.3"/>
  <cols>
    <col min="1" max="1" width="4.109375" style="498" customWidth="1"/>
    <col min="2" max="2" width="8.33203125" style="498" customWidth="1"/>
    <col min="3" max="3" width="78.33203125" style="498" customWidth="1"/>
    <col min="4" max="4" width="13.5546875" style="239" bestFit="1" customWidth="1"/>
    <col min="5" max="5" width="15" style="498" bestFit="1" customWidth="1"/>
    <col min="6" max="6" width="11.44140625" style="498"/>
    <col min="7" max="7" width="15.33203125" style="498" bestFit="1" customWidth="1"/>
    <col min="8" max="8" width="15.33203125" style="498" customWidth="1"/>
    <col min="9" max="9" width="17.109375" style="498" customWidth="1"/>
    <col min="10" max="10" width="14.109375" style="498" customWidth="1"/>
    <col min="11" max="11" width="15.6640625" style="498" customWidth="1"/>
    <col min="12" max="19" width="11.44140625" style="498"/>
    <col min="20" max="20" width="13.5546875" style="498" bestFit="1" customWidth="1"/>
    <col min="21" max="21" width="11.44140625" style="498"/>
    <col min="22" max="24" width="12.5546875" style="498" bestFit="1" customWidth="1"/>
    <col min="25" max="25" width="14.88671875" style="498" customWidth="1"/>
    <col min="26" max="26" width="11.44140625" style="498"/>
    <col min="27" max="27" width="21.33203125" style="498" customWidth="1"/>
    <col min="28" max="16384" width="11.44140625" style="498"/>
  </cols>
  <sheetData>
    <row r="1" spans="2:27" ht="14.4" x14ac:dyDescent="0.3">
      <c r="B1" s="497" t="s">
        <v>713</v>
      </c>
    </row>
    <row r="2" spans="2:27" ht="14.4" x14ac:dyDescent="0.3">
      <c r="D2" s="499" t="s">
        <v>714</v>
      </c>
      <c r="E2" s="500" t="s">
        <v>715</v>
      </c>
      <c r="Q2" s="501" t="s">
        <v>644</v>
      </c>
      <c r="R2" s="502"/>
      <c r="S2" s="502"/>
      <c r="T2" s="503"/>
      <c r="U2" s="502"/>
      <c r="V2" s="502"/>
      <c r="W2" s="502"/>
      <c r="X2" s="502"/>
      <c r="Y2" s="502"/>
    </row>
    <row r="3" spans="2:27" ht="14.4" x14ac:dyDescent="0.3">
      <c r="B3" s="504"/>
      <c r="C3" s="505"/>
      <c r="D3" s="506" t="s">
        <v>716</v>
      </c>
      <c r="E3" s="507" t="s">
        <v>716</v>
      </c>
      <c r="Q3" s="502"/>
      <c r="R3" s="501" t="s">
        <v>634</v>
      </c>
      <c r="S3" s="502"/>
      <c r="T3" s="503"/>
      <c r="U3" s="502"/>
      <c r="V3" s="502"/>
      <c r="W3" s="502"/>
      <c r="X3" s="502"/>
      <c r="Y3" s="502"/>
    </row>
    <row r="4" spans="2:27" ht="14.4" x14ac:dyDescent="0.3">
      <c r="B4" s="508" t="str">
        <f>+'[3]Hoja Llave'!A28</f>
        <v>KmsM</v>
      </c>
      <c r="C4" s="509" t="str">
        <f>+'[3]Hoja Llave'!B28</f>
        <v>Recorrido Mensual Metropolitanas</v>
      </c>
      <c r="D4" s="510">
        <f>'INFO SECRETARIA'!B11*G4</f>
        <v>2802750.5375999999</v>
      </c>
      <c r="E4" s="510">
        <f>+D4*12</f>
        <v>33633006.451200001</v>
      </c>
      <c r="F4" s="511">
        <f>D4/D6</f>
        <v>0.43440000000000001</v>
      </c>
      <c r="G4" s="1102">
        <f>+'INFO SECRETARIA'!C13</f>
        <v>0.43440000000000001</v>
      </c>
      <c r="H4" s="512"/>
      <c r="K4" s="1552" t="s">
        <v>563</v>
      </c>
      <c r="L4" s="1553"/>
      <c r="M4" s="1553"/>
      <c r="N4" s="1554"/>
      <c r="Q4" s="502"/>
      <c r="R4" s="502"/>
      <c r="S4" s="502"/>
      <c r="T4" s="503"/>
      <c r="U4" s="502"/>
      <c r="V4" s="502"/>
      <c r="W4" s="502"/>
      <c r="X4" s="502"/>
      <c r="Y4" s="502"/>
    </row>
    <row r="5" spans="2:27" ht="14.4" x14ac:dyDescent="0.3">
      <c r="B5" s="513" t="str">
        <f>+'[3]Hoja Llave'!A29</f>
        <v>KmsR</v>
      </c>
      <c r="C5" s="514" t="str">
        <f>+'[3]Hoja Llave'!B29</f>
        <v>Recorrido Mensual Rurales</v>
      </c>
      <c r="D5" s="515">
        <f>'INFO SECRETARIA'!B11*G5</f>
        <v>3649253.4624000001</v>
      </c>
      <c r="E5" s="515">
        <f>+D5*12</f>
        <v>43791041.548799999</v>
      </c>
      <c r="F5" s="511">
        <f>D5/D6</f>
        <v>0.56559999999999999</v>
      </c>
      <c r="G5" s="1102">
        <f>+'INFO SECRETARIA'!C12</f>
        <v>0.56559999999999999</v>
      </c>
      <c r="H5" s="512"/>
      <c r="I5" s="516" t="s">
        <v>717</v>
      </c>
      <c r="J5" s="517"/>
      <c r="K5" s="518" t="s">
        <v>564</v>
      </c>
      <c r="L5" s="519" t="s">
        <v>565</v>
      </c>
      <c r="M5" s="520" t="s">
        <v>566</v>
      </c>
      <c r="N5" s="519" t="s">
        <v>436</v>
      </c>
      <c r="Q5" s="502"/>
      <c r="R5" s="502" t="s">
        <v>645</v>
      </c>
      <c r="S5" s="502"/>
      <c r="T5" s="503"/>
      <c r="U5" s="502"/>
      <c r="V5" s="502"/>
      <c r="W5" s="502"/>
      <c r="X5" s="502"/>
      <c r="Y5" s="502"/>
    </row>
    <row r="6" spans="2:27" ht="17.399999999999999" x14ac:dyDescent="0.55000000000000004">
      <c r="B6" s="521"/>
      <c r="C6" s="522" t="s">
        <v>718</v>
      </c>
      <c r="D6" s="523">
        <f>+D4+D5</f>
        <v>6452004</v>
      </c>
      <c r="E6" s="523">
        <f>+D6*12</f>
        <v>77424048</v>
      </c>
      <c r="K6" s="524"/>
      <c r="L6" s="525"/>
      <c r="M6" s="526"/>
      <c r="N6" s="526"/>
      <c r="Q6" s="502"/>
      <c r="R6" s="502"/>
      <c r="S6" s="502"/>
      <c r="T6" s="527" t="s">
        <v>436</v>
      </c>
      <c r="U6" s="528"/>
      <c r="V6" s="529" t="s">
        <v>514</v>
      </c>
      <c r="W6" s="529" t="s">
        <v>635</v>
      </c>
      <c r="X6" s="529" t="s">
        <v>636</v>
      </c>
      <c r="Y6" s="502"/>
    </row>
    <row r="7" spans="2:27" ht="14.4" x14ac:dyDescent="0.3">
      <c r="B7" s="497"/>
      <c r="C7" s="497"/>
      <c r="D7" s="530"/>
      <c r="E7" s="497"/>
      <c r="I7" s="524" t="s">
        <v>719</v>
      </c>
      <c r="J7" s="526"/>
      <c r="K7" s="531">
        <v>497</v>
      </c>
      <c r="L7" s="532">
        <v>232</v>
      </c>
      <c r="M7" s="533">
        <v>366</v>
      </c>
      <c r="N7" s="534">
        <f>+K7+L7+M7</f>
        <v>1095</v>
      </c>
      <c r="Q7" s="502"/>
      <c r="R7" s="502"/>
      <c r="S7" s="535">
        <v>42705</v>
      </c>
      <c r="T7" s="536"/>
      <c r="U7" s="502"/>
      <c r="V7" s="536"/>
      <c r="W7" s="536"/>
      <c r="X7" s="536"/>
      <c r="Y7" s="536">
        <f>SUM(V7:X7)-T7</f>
        <v>0</v>
      </c>
      <c r="AA7" s="537">
        <f>+'[3]Resumen de Calculo'!H63</f>
        <v>533895927.24000001</v>
      </c>
    </row>
    <row r="8" spans="2:27" ht="14.4" x14ac:dyDescent="0.3">
      <c r="B8" s="497"/>
      <c r="C8" s="497"/>
      <c r="D8" s="530"/>
      <c r="E8" s="497"/>
      <c r="I8" s="538" t="s">
        <v>720</v>
      </c>
      <c r="J8" s="539"/>
      <c r="K8" s="540">
        <v>171</v>
      </c>
      <c r="L8" s="541">
        <v>80</v>
      </c>
      <c r="M8" s="542">
        <v>126</v>
      </c>
      <c r="N8" s="543">
        <f>+K8+L8+M8</f>
        <v>377</v>
      </c>
      <c r="Q8" s="502"/>
      <c r="R8" s="502"/>
      <c r="S8" s="544">
        <v>44197</v>
      </c>
      <c r="T8" s="309">
        <v>3304918.6</v>
      </c>
      <c r="U8" s="502"/>
      <c r="V8" s="536">
        <f>T8*M$11</f>
        <v>1104633.1190217391</v>
      </c>
      <c r="W8" s="536">
        <f>T8*K$11</f>
        <v>1499786.4298913043</v>
      </c>
      <c r="X8" s="536">
        <f>T8*L$11</f>
        <v>700499.05108695652</v>
      </c>
      <c r="Y8" s="536">
        <f t="shared" ref="Y8:Y18" si="0">SUM(V8:X8)-T8</f>
        <v>0</v>
      </c>
      <c r="AA8" s="537">
        <f>+AA7</f>
        <v>533895927.24000001</v>
      </c>
    </row>
    <row r="9" spans="2:27" ht="14.4" x14ac:dyDescent="0.3">
      <c r="B9" s="545"/>
      <c r="C9" s="546"/>
      <c r="D9" s="547" t="s">
        <v>596</v>
      </c>
      <c r="E9" s="497"/>
      <c r="H9" s="611" t="s">
        <v>460</v>
      </c>
      <c r="I9" s="548" t="s">
        <v>436</v>
      </c>
      <c r="J9" s="549"/>
      <c r="K9" s="550">
        <f>+K7+K8</f>
        <v>668</v>
      </c>
      <c r="L9" s="551">
        <f>+L7+L8</f>
        <v>312</v>
      </c>
      <c r="M9" s="552">
        <f>+M7+M8</f>
        <v>492</v>
      </c>
      <c r="N9" s="553">
        <f>+K9+L9+M9</f>
        <v>1472</v>
      </c>
      <c r="O9" s="554">
        <f>+N9-D12</f>
        <v>622</v>
      </c>
      <c r="Q9" s="502"/>
      <c r="R9" s="502"/>
      <c r="S9" s="544">
        <v>44228</v>
      </c>
      <c r="T9" s="309">
        <v>3304918.6</v>
      </c>
      <c r="U9" s="555"/>
      <c r="V9" s="536">
        <f t="shared" ref="V9:V18" si="1">T9*M$11</f>
        <v>1104633.1190217391</v>
      </c>
      <c r="W9" s="536">
        <f t="shared" ref="W9:W18" si="2">T9*K$11</f>
        <v>1499786.4298913043</v>
      </c>
      <c r="X9" s="536">
        <f t="shared" ref="X9:X18" si="3">T9*L$11</f>
        <v>700499.05108695652</v>
      </c>
      <c r="Y9" s="556">
        <f t="shared" si="0"/>
        <v>0</v>
      </c>
      <c r="AA9" s="537">
        <f>+AA8</f>
        <v>533895927.24000001</v>
      </c>
    </row>
    <row r="10" spans="2:27" ht="14.4" x14ac:dyDescent="0.3">
      <c r="B10" s="508" t="str">
        <f>+'[3]Hoja Llave'!A63</f>
        <v>Um</v>
      </c>
      <c r="C10" s="509" t="str">
        <f>+'[3]Hoja Llave'!B63</f>
        <v xml:space="preserve">Flota Metropolitanos Pcia de Cordoba - Cantidad de Vehiculos/unidades (UP) </v>
      </c>
      <c r="D10" s="557">
        <f>D12*E10</f>
        <v>385.73369565217394</v>
      </c>
      <c r="E10" s="558">
        <f>K14</f>
        <v>0.45380434782608697</v>
      </c>
      <c r="F10" s="612">
        <v>573.31953255425719</v>
      </c>
      <c r="G10" s="560">
        <f>F10/$F$12</f>
        <v>0.52086811352253748</v>
      </c>
      <c r="H10" s="612">
        <v>573.31953255425719</v>
      </c>
      <c r="K10" s="538"/>
      <c r="L10" s="561"/>
      <c r="M10" s="562"/>
      <c r="N10" s="539"/>
      <c r="Q10" s="502"/>
      <c r="R10" s="502"/>
      <c r="S10" s="544">
        <v>44256</v>
      </c>
      <c r="T10" s="309">
        <v>3304918.6</v>
      </c>
      <c r="U10" s="555"/>
      <c r="V10" s="536">
        <f t="shared" si="1"/>
        <v>1104633.1190217391</v>
      </c>
      <c r="W10" s="536">
        <f t="shared" si="2"/>
        <v>1499786.4298913043</v>
      </c>
      <c r="X10" s="536">
        <f t="shared" si="3"/>
        <v>700499.05108695652</v>
      </c>
      <c r="Y10" s="556">
        <f t="shared" si="0"/>
        <v>0</v>
      </c>
      <c r="AA10" s="537">
        <f>+AA9</f>
        <v>533895927.24000001</v>
      </c>
    </row>
    <row r="11" spans="2:27" ht="14.4" x14ac:dyDescent="0.3">
      <c r="B11" s="513" t="str">
        <f>+'[3]Hoja Llave'!A64</f>
        <v>Ur</v>
      </c>
      <c r="C11" s="514" t="str">
        <f>+'[3]Hoja Llave'!B64</f>
        <v xml:space="preserve">Flota Rurales Pcia de Cordoba - Cantidad de Vehiculos/unidades (SP-IP) </v>
      </c>
      <c r="D11" s="563">
        <f>D12*E11</f>
        <v>464.26630434782612</v>
      </c>
      <c r="E11" s="558">
        <f>L14</f>
        <v>0.54619565217391308</v>
      </c>
      <c r="F11" s="612">
        <v>527.38046744574297</v>
      </c>
      <c r="G11" s="560">
        <f>F11/$F$12</f>
        <v>0.47913188647746235</v>
      </c>
      <c r="H11" s="612">
        <v>527.38046744574297</v>
      </c>
      <c r="I11" s="516" t="s">
        <v>721</v>
      </c>
      <c r="J11" s="564"/>
      <c r="K11" s="565">
        <f>+K9/$N$9</f>
        <v>0.45380434782608697</v>
      </c>
      <c r="L11" s="565">
        <f>+L9/$N$9</f>
        <v>0.21195652173913043</v>
      </c>
      <c r="M11" s="565">
        <f>+M9/$N$9</f>
        <v>0.33423913043478259</v>
      </c>
      <c r="N11" s="565">
        <f>+N9/$N$9</f>
        <v>1</v>
      </c>
      <c r="Q11" s="502"/>
      <c r="R11" s="502"/>
      <c r="S11" s="544">
        <v>44287</v>
      </c>
      <c r="T11" s="309">
        <v>3304918.6</v>
      </c>
      <c r="U11" s="555"/>
      <c r="V11" s="536">
        <f t="shared" si="1"/>
        <v>1104633.1190217391</v>
      </c>
      <c r="W11" s="536">
        <f t="shared" si="2"/>
        <v>1499786.4298913043</v>
      </c>
      <c r="X11" s="536">
        <f t="shared" si="3"/>
        <v>700499.05108695652</v>
      </c>
      <c r="Y11" s="556">
        <f t="shared" si="0"/>
        <v>0</v>
      </c>
      <c r="AA11" s="537">
        <f>+AA10</f>
        <v>533895927.24000001</v>
      </c>
    </row>
    <row r="12" spans="2:27" ht="14.4" x14ac:dyDescent="0.3">
      <c r="B12" s="566" t="str">
        <f>+'[3]Hoja Llave'!A62</f>
        <v>Ut</v>
      </c>
      <c r="C12" s="567" t="str">
        <f>+'[3]Hoja Llave'!B62</f>
        <v xml:space="preserve">Flota Total Pcia de Cordoba - Cantidad de Vehiculos/unidades (UP-SP-IP) </v>
      </c>
      <c r="D12" s="568">
        <f>J29</f>
        <v>850</v>
      </c>
      <c r="E12" s="497"/>
      <c r="F12" s="1101">
        <f>SUM(F10:F11)</f>
        <v>1100.7000000000003</v>
      </c>
      <c r="H12" s="1101">
        <f>SUM(H10:H11)</f>
        <v>1100.7000000000003</v>
      </c>
      <c r="Q12" s="502"/>
      <c r="R12" s="502"/>
      <c r="S12" s="544">
        <v>44317</v>
      </c>
      <c r="T12" s="309">
        <v>3304918.6</v>
      </c>
      <c r="U12" s="555"/>
      <c r="V12" s="536">
        <f t="shared" si="1"/>
        <v>1104633.1190217391</v>
      </c>
      <c r="W12" s="536">
        <f t="shared" si="2"/>
        <v>1499786.4298913043</v>
      </c>
      <c r="X12" s="536">
        <f t="shared" si="3"/>
        <v>700499.05108695652</v>
      </c>
      <c r="Y12" s="556">
        <f t="shared" si="0"/>
        <v>0</v>
      </c>
      <c r="AA12" s="537">
        <f>+AA11</f>
        <v>533895927.24000001</v>
      </c>
    </row>
    <row r="13" spans="2:27" ht="14.4" x14ac:dyDescent="0.3">
      <c r="B13" s="497"/>
      <c r="C13" s="497"/>
      <c r="D13" s="530"/>
      <c r="E13" s="825">
        <f>D12-(D12*30%)</f>
        <v>595</v>
      </c>
      <c r="K13" s="569" t="s">
        <v>722</v>
      </c>
      <c r="L13" s="1555" t="s">
        <v>723</v>
      </c>
      <c r="M13" s="1556"/>
      <c r="Q13" s="502"/>
      <c r="R13" s="502"/>
      <c r="S13" s="544">
        <v>44348</v>
      </c>
      <c r="T13" s="309">
        <v>3304918.6</v>
      </c>
      <c r="U13" s="555"/>
      <c r="V13" s="536">
        <f t="shared" si="1"/>
        <v>1104633.1190217391</v>
      </c>
      <c r="W13" s="536">
        <f t="shared" si="2"/>
        <v>1499786.4298913043</v>
      </c>
      <c r="X13" s="536">
        <f t="shared" si="3"/>
        <v>700499.05108695652</v>
      </c>
      <c r="Y13" s="556">
        <f t="shared" si="0"/>
        <v>0</v>
      </c>
      <c r="AA13" s="537">
        <f>+AA12*1.1278</f>
        <v>602127826.74127197</v>
      </c>
    </row>
    <row r="14" spans="2:27" ht="14.4" x14ac:dyDescent="0.3">
      <c r="B14" s="497"/>
      <c r="C14" s="497"/>
      <c r="D14" s="530"/>
      <c r="E14" s="497"/>
      <c r="K14" s="570">
        <f>+K11</f>
        <v>0.45380434782608697</v>
      </c>
      <c r="L14" s="571">
        <f>+L11+M11</f>
        <v>0.54619565217391308</v>
      </c>
      <c r="M14" s="572"/>
      <c r="Q14" s="502"/>
      <c r="R14" s="502"/>
      <c r="S14" s="544">
        <v>44378</v>
      </c>
      <c r="T14" s="309">
        <v>3304918.6</v>
      </c>
      <c r="U14" s="555"/>
      <c r="V14" s="536">
        <f t="shared" si="1"/>
        <v>1104633.1190217391</v>
      </c>
      <c r="W14" s="536">
        <f t="shared" si="2"/>
        <v>1499786.4298913043</v>
      </c>
      <c r="X14" s="536">
        <f t="shared" si="3"/>
        <v>700499.05108695652</v>
      </c>
      <c r="Y14" s="556">
        <f t="shared" si="0"/>
        <v>0</v>
      </c>
      <c r="AA14" s="537">
        <f>+AA13</f>
        <v>602127826.74127197</v>
      </c>
    </row>
    <row r="15" spans="2:27" ht="14.4" x14ac:dyDescent="0.3">
      <c r="B15" s="573"/>
      <c r="C15" s="574"/>
      <c r="D15" s="575" t="s">
        <v>724</v>
      </c>
      <c r="E15" s="576" t="s">
        <v>725</v>
      </c>
      <c r="Q15" s="502"/>
      <c r="R15" s="502"/>
      <c r="S15" s="544">
        <v>44409</v>
      </c>
      <c r="T15" s="309">
        <v>3304918.6</v>
      </c>
      <c r="U15" s="555"/>
      <c r="V15" s="536">
        <f t="shared" si="1"/>
        <v>1104633.1190217391</v>
      </c>
      <c r="W15" s="536">
        <f t="shared" si="2"/>
        <v>1499786.4298913043</v>
      </c>
      <c r="X15" s="536">
        <f t="shared" si="3"/>
        <v>700499.05108695652</v>
      </c>
      <c r="Y15" s="556">
        <f t="shared" si="0"/>
        <v>0</v>
      </c>
      <c r="AA15" s="537">
        <f>+AA14*1.1133</f>
        <v>670348909.51105809</v>
      </c>
    </row>
    <row r="16" spans="2:27" ht="14.4" x14ac:dyDescent="0.3">
      <c r="B16" s="508" t="str">
        <f>+'[3]Hoja Llave'!A30</f>
        <v>km (m)</v>
      </c>
      <c r="C16" s="577" t="str">
        <f>+'[3]Hoja Llave'!B30</f>
        <v>Kilometraje mensual medio recorrido por coche empresas metropolitanas</v>
      </c>
      <c r="D16" s="578">
        <f>+D4/D10</f>
        <v>7266.0246413300456</v>
      </c>
      <c r="E16" s="579">
        <f>+D16*12</f>
        <v>87192.295695960551</v>
      </c>
      <c r="F16" s="511"/>
      <c r="Q16" s="502"/>
      <c r="R16" s="502"/>
      <c r="S16" s="544">
        <v>44440</v>
      </c>
      <c r="T16" s="309">
        <v>3304918.6</v>
      </c>
      <c r="U16" s="555"/>
      <c r="V16" s="536">
        <f t="shared" si="1"/>
        <v>1104633.1190217391</v>
      </c>
      <c r="W16" s="536">
        <f t="shared" si="2"/>
        <v>1499786.4298913043</v>
      </c>
      <c r="X16" s="536">
        <f t="shared" si="3"/>
        <v>700499.05108695652</v>
      </c>
      <c r="Y16" s="556">
        <f t="shared" si="0"/>
        <v>0</v>
      </c>
      <c r="AA16" s="537">
        <f>+AA15</f>
        <v>670348909.51105809</v>
      </c>
    </row>
    <row r="17" spans="2:27" ht="14.4" x14ac:dyDescent="0.3">
      <c r="B17" s="513" t="str">
        <f>+'[3]Hoja Llave'!A46</f>
        <v>km (r.)</v>
      </c>
      <c r="C17" s="514" t="str">
        <f>+'[3]Hoja Llave'!B46</f>
        <v>Kilometraje mensual medio recorrido por empresa rural</v>
      </c>
      <c r="D17" s="580">
        <f>+D5/D11</f>
        <v>7860.2591405513604</v>
      </c>
      <c r="E17" s="515">
        <f>+D17*12</f>
        <v>94323.109686616328</v>
      </c>
      <c r="F17" s="511"/>
      <c r="K17" s="1552" t="s">
        <v>563</v>
      </c>
      <c r="L17" s="1553"/>
      <c r="M17" s="1553"/>
      <c r="N17" s="1554"/>
      <c r="Q17" s="502"/>
      <c r="R17" s="502"/>
      <c r="S17" s="544">
        <v>44470</v>
      </c>
      <c r="T17" s="309">
        <v>3304918.6</v>
      </c>
      <c r="U17" s="555"/>
      <c r="V17" s="536">
        <f t="shared" si="1"/>
        <v>1104633.1190217391</v>
      </c>
      <c r="W17" s="536">
        <f t="shared" si="2"/>
        <v>1499786.4298913043</v>
      </c>
      <c r="X17" s="536">
        <f t="shared" si="3"/>
        <v>700499.05108695652</v>
      </c>
      <c r="Y17" s="556">
        <f t="shared" si="0"/>
        <v>0</v>
      </c>
      <c r="AA17" s="537">
        <f>+AA16</f>
        <v>670348909.51105809</v>
      </c>
    </row>
    <row r="18" spans="2:27" ht="14.4" x14ac:dyDescent="0.3">
      <c r="B18" s="581"/>
      <c r="C18" s="582" t="s">
        <v>726</v>
      </c>
      <c r="D18" s="583">
        <f>+D6/D12</f>
        <v>7590.592941176471</v>
      </c>
      <c r="E18" s="584">
        <f>+D18*12</f>
        <v>91087.115294117655</v>
      </c>
      <c r="I18" s="516" t="s">
        <v>717</v>
      </c>
      <c r="J18" s="517"/>
      <c r="K18" s="518" t="s">
        <v>564</v>
      </c>
      <c r="L18" s="519" t="s">
        <v>565</v>
      </c>
      <c r="M18" s="520" t="s">
        <v>566</v>
      </c>
      <c r="N18" s="519" t="s">
        <v>436</v>
      </c>
      <c r="O18" s="585">
        <v>9.4000000000000004E-3</v>
      </c>
      <c r="Q18" s="502"/>
      <c r="R18" s="502"/>
      <c r="S18" s="544">
        <v>44501</v>
      </c>
      <c r="T18" s="309">
        <v>3304918.6</v>
      </c>
      <c r="U18" s="586"/>
      <c r="V18" s="536">
        <f t="shared" si="1"/>
        <v>1104633.1190217391</v>
      </c>
      <c r="W18" s="536">
        <f t="shared" si="2"/>
        <v>1499786.4298913043</v>
      </c>
      <c r="X18" s="536">
        <f t="shared" si="3"/>
        <v>700499.05108695652</v>
      </c>
      <c r="Y18" s="587">
        <f t="shared" si="0"/>
        <v>0</v>
      </c>
      <c r="Z18" s="588"/>
      <c r="AA18" s="589">
        <f>+AA17</f>
        <v>670348909.51105809</v>
      </c>
    </row>
    <row r="19" spans="2:27" ht="14.4" x14ac:dyDescent="0.3">
      <c r="B19" s="590" t="s">
        <v>727</v>
      </c>
      <c r="K19" s="524"/>
      <c r="L19" s="525"/>
      <c r="M19" s="526"/>
      <c r="N19" s="526"/>
      <c r="Q19" s="502"/>
      <c r="R19" s="502"/>
      <c r="S19" s="502"/>
      <c r="T19" s="536"/>
      <c r="U19" s="502"/>
      <c r="V19" s="536"/>
      <c r="W19" s="536"/>
      <c r="X19" s="536"/>
      <c r="Y19" s="536"/>
    </row>
    <row r="20" spans="2:27" ht="14.4" x14ac:dyDescent="0.3">
      <c r="I20" s="524" t="s">
        <v>719</v>
      </c>
      <c r="J20" s="526"/>
      <c r="K20" s="531">
        <f>+K7/$K$9*$D$10</f>
        <v>286.99048913043475</v>
      </c>
      <c r="L20" s="532">
        <f>+L7/($L$9+M9)*$D$11</f>
        <v>133.96739130434784</v>
      </c>
      <c r="M20" s="533">
        <f>+M7/($L$9+M9)*$D$11</f>
        <v>211.34510869565219</v>
      </c>
      <c r="N20" s="534">
        <f>+K20+L20+M20</f>
        <v>632.30298913043475</v>
      </c>
      <c r="Q20" s="502"/>
      <c r="R20" s="502" t="s">
        <v>637</v>
      </c>
      <c r="S20" s="502"/>
      <c r="T20" s="591">
        <f>AVERAGE(T7:T18)</f>
        <v>3304918.600000001</v>
      </c>
      <c r="U20" s="502"/>
      <c r="V20" s="591">
        <f>AVERAGE(V7:V18)</f>
        <v>1104633.1190217393</v>
      </c>
      <c r="W20" s="591">
        <f>AVERAGE(W7:W18)</f>
        <v>1499786.4298913048</v>
      </c>
      <c r="X20" s="591">
        <f>AVERAGE(X7:X18)</f>
        <v>700499.05108695652</v>
      </c>
      <c r="Y20" s="536"/>
      <c r="AA20" s="591">
        <f>AVERAGE(AA7:AA18)</f>
        <v>590752237.91389787</v>
      </c>
    </row>
    <row r="21" spans="2:27" ht="14.4" x14ac:dyDescent="0.3">
      <c r="I21" s="538" t="s">
        <v>720</v>
      </c>
      <c r="J21" s="539"/>
      <c r="K21" s="540">
        <f>+K8/$K$9*$D$10</f>
        <v>98.74320652173914</v>
      </c>
      <c r="L21" s="541">
        <f>+L8/($L$9+M9)*$D$11</f>
        <v>46.195652173913047</v>
      </c>
      <c r="M21" s="542">
        <f>+M8/($L$9+M9)*$D$11</f>
        <v>72.758152173913047</v>
      </c>
      <c r="N21" s="543">
        <f>+K21+L21+M21</f>
        <v>217.69701086956525</v>
      </c>
      <c r="Q21" s="502"/>
      <c r="R21" s="502"/>
      <c r="S21" s="502"/>
      <c r="T21" s="503"/>
      <c r="U21" s="502"/>
      <c r="V21" s="502"/>
      <c r="W21" s="502"/>
      <c r="X21" s="502"/>
      <c r="Y21" s="502"/>
    </row>
    <row r="22" spans="2:27" ht="14.4" x14ac:dyDescent="0.3">
      <c r="I22" s="548" t="s">
        <v>436</v>
      </c>
      <c r="J22" s="549"/>
      <c r="K22" s="550">
        <f>+K20+K21</f>
        <v>385.73369565217388</v>
      </c>
      <c r="L22" s="551">
        <f>+L20+L21</f>
        <v>180.16304347826087</v>
      </c>
      <c r="M22" s="552">
        <f>+M20+M21</f>
        <v>284.10326086956525</v>
      </c>
      <c r="N22" s="553">
        <f>+K22+L22+M22</f>
        <v>850</v>
      </c>
      <c r="O22" s="592">
        <f>N22*0.94</f>
        <v>799</v>
      </c>
      <c r="Q22" s="502"/>
      <c r="R22" s="593" t="s">
        <v>638</v>
      </c>
      <c r="S22" s="593"/>
      <c r="T22" s="594">
        <f>AVERAGE(T9:T18)</f>
        <v>3304918.6000000006</v>
      </c>
      <c r="U22" s="595"/>
      <c r="V22" s="594">
        <f>AVERAGE(V9:V18)</f>
        <v>1104633.1190217393</v>
      </c>
      <c r="W22" s="594">
        <f>AVERAGE(W9:W18)</f>
        <v>1499786.4298913046</v>
      </c>
      <c r="X22" s="594">
        <f>AVERAGE(X9:X18)</f>
        <v>700499.05108695652</v>
      </c>
      <c r="Y22" s="502"/>
    </row>
    <row r="23" spans="2:27" ht="14.4" x14ac:dyDescent="0.3">
      <c r="C23" s="230"/>
      <c r="D23" s="234"/>
      <c r="K23" s="538"/>
      <c r="L23" s="561"/>
      <c r="M23" s="562"/>
      <c r="N23" s="539"/>
    </row>
    <row r="24" spans="2:27" ht="14.4" x14ac:dyDescent="0.3">
      <c r="C24" s="230"/>
      <c r="D24" s="234"/>
      <c r="I24" s="516" t="s">
        <v>721</v>
      </c>
      <c r="J24" s="564"/>
      <c r="K24" s="565">
        <f>+K22/$N$22</f>
        <v>0.45380434782608692</v>
      </c>
      <c r="L24" s="565">
        <f>+L22/$N$22</f>
        <v>0.21195652173913043</v>
      </c>
      <c r="M24" s="565">
        <f>+M22/$N$22</f>
        <v>0.33423913043478265</v>
      </c>
      <c r="N24" s="565">
        <f>+N22/$N$22</f>
        <v>1</v>
      </c>
      <c r="R24" s="596" t="s">
        <v>575</v>
      </c>
      <c r="S24" s="597" t="s">
        <v>573</v>
      </c>
      <c r="T24" s="564"/>
      <c r="U24" s="564"/>
      <c r="V24" s="564"/>
      <c r="W24" s="598">
        <f>+W22/$T$22</f>
        <v>0.45380434782608697</v>
      </c>
      <c r="X24" s="517"/>
    </row>
    <row r="25" spans="2:27" ht="14.4" x14ac:dyDescent="0.3">
      <c r="C25" s="230"/>
      <c r="K25" s="569" t="s">
        <v>722</v>
      </c>
      <c r="L25" s="599" t="s">
        <v>723</v>
      </c>
      <c r="M25" s="600"/>
      <c r="R25" s="513" t="s">
        <v>576</v>
      </c>
      <c r="S25" s="514" t="s">
        <v>574</v>
      </c>
      <c r="T25" s="601"/>
      <c r="U25" s="601"/>
      <c r="V25" s="601"/>
      <c r="W25" s="602">
        <f>1-W24</f>
        <v>0.54619565217391308</v>
      </c>
      <c r="X25" s="603"/>
    </row>
    <row r="26" spans="2:27" x14ac:dyDescent="0.3">
      <c r="K26" s="570">
        <f>+K24</f>
        <v>0.45380434782608692</v>
      </c>
      <c r="L26" s="571">
        <f>+L24+M24</f>
        <v>0.54619565217391308</v>
      </c>
      <c r="M26" s="572"/>
    </row>
    <row r="27" spans="2:27" x14ac:dyDescent="0.3">
      <c r="G27" s="238"/>
      <c r="W27" s="598">
        <f>+W20/T20</f>
        <v>0.45380434782608697</v>
      </c>
    </row>
    <row r="28" spans="2:27" x14ac:dyDescent="0.3">
      <c r="K28" s="633">
        <f>'INFO SECRETARIA'!C13</f>
        <v>0.43440000000000001</v>
      </c>
      <c r="L28" s="633">
        <f>'INFO SECRETARIA'!C12</f>
        <v>0.56559999999999999</v>
      </c>
    </row>
    <row r="29" spans="2:27" x14ac:dyDescent="0.3">
      <c r="D29" s="604"/>
      <c r="I29" s="1557" t="s">
        <v>728</v>
      </c>
      <c r="J29" s="1558">
        <v>850</v>
      </c>
      <c r="K29" s="1559">
        <f>J29*K28</f>
        <v>369.24</v>
      </c>
      <c r="L29" s="1559">
        <f>J29*L28</f>
        <v>480.76</v>
      </c>
      <c r="M29" s="498">
        <v>850</v>
      </c>
      <c r="N29" s="592">
        <f>M29*10%</f>
        <v>85</v>
      </c>
      <c r="O29" s="592">
        <f>M29-N29</f>
        <v>765</v>
      </c>
      <c r="Q29" s="498">
        <v>945</v>
      </c>
      <c r="R29" s="498">
        <f>Q29*12.6%</f>
        <v>119.07000000000001</v>
      </c>
      <c r="S29" s="498">
        <f>Q29-R29</f>
        <v>825.93</v>
      </c>
    </row>
    <row r="30" spans="2:27" x14ac:dyDescent="0.3">
      <c r="D30" s="604"/>
      <c r="I30" s="1557"/>
      <c r="J30" s="1557"/>
      <c r="K30" s="1560"/>
      <c r="L30" s="1560"/>
    </row>
    <row r="31" spans="2:27" ht="24" customHeight="1" x14ac:dyDescent="0.3">
      <c r="I31" s="981"/>
      <c r="J31" s="631">
        <v>740</v>
      </c>
      <c r="K31" s="634">
        <f>J31*K26</f>
        <v>335.81521739130432</v>
      </c>
      <c r="L31" s="634">
        <f>J31*L26</f>
        <v>404.18478260869568</v>
      </c>
    </row>
    <row r="32" spans="2:27" ht="23.25" customHeight="1" x14ac:dyDescent="0.3">
      <c r="I32" s="632" t="s">
        <v>840</v>
      </c>
      <c r="J32" s="632">
        <f>J31*1.14</f>
        <v>843.59999999999991</v>
      </c>
      <c r="K32" s="634">
        <f>J32*K26</f>
        <v>382.82934782608686</v>
      </c>
      <c r="L32" s="634">
        <f>J32*L26</f>
        <v>460.77065217391305</v>
      </c>
      <c r="N32" s="498">
        <v>850</v>
      </c>
      <c r="O32" s="498">
        <f>N32*0.85</f>
        <v>722.5</v>
      </c>
    </row>
    <row r="33" spans="5:15" x14ac:dyDescent="0.3">
      <c r="O33" s="498">
        <f>N32*15%</f>
        <v>127.5</v>
      </c>
    </row>
    <row r="36" spans="5:15" x14ac:dyDescent="0.3">
      <c r="I36" s="970" t="s">
        <v>596</v>
      </c>
      <c r="J36" s="970" t="s">
        <v>836</v>
      </c>
      <c r="K36" s="970" t="s">
        <v>759</v>
      </c>
    </row>
    <row r="37" spans="5:15" x14ac:dyDescent="0.3">
      <c r="I37" s="498">
        <v>241</v>
      </c>
      <c r="J37" s="498" t="s">
        <v>837</v>
      </c>
      <c r="K37" s="498">
        <v>1977</v>
      </c>
    </row>
    <row r="38" spans="5:15" x14ac:dyDescent="0.3">
      <c r="I38" s="498">
        <v>715</v>
      </c>
      <c r="J38" s="498" t="s">
        <v>838</v>
      </c>
      <c r="K38" s="498">
        <v>9957</v>
      </c>
    </row>
    <row r="39" spans="5:15" ht="24.75" customHeight="1" x14ac:dyDescent="0.3">
      <c r="H39" s="927"/>
      <c r="I39" s="971">
        <f>SUM(I37:I38)</f>
        <v>956</v>
      </c>
    </row>
    <row r="40" spans="5:15" x14ac:dyDescent="0.3">
      <c r="E40" s="554"/>
    </row>
    <row r="42" spans="5:15" ht="31.5" customHeight="1" x14ac:dyDescent="0.3">
      <c r="I42" s="957"/>
      <c r="J42" s="972">
        <v>820</v>
      </c>
      <c r="M42" s="983">
        <f>I38+(I37/2)</f>
        <v>835.5</v>
      </c>
      <c r="N42" s="1551"/>
      <c r="O42" s="1551"/>
    </row>
    <row r="56" spans="5:5" x14ac:dyDescent="0.3">
      <c r="E56" s="554">
        <f>SUM(D41:D56)</f>
        <v>0</v>
      </c>
    </row>
  </sheetData>
  <mergeCells count="8">
    <mergeCell ref="N42:O42"/>
    <mergeCell ref="K4:N4"/>
    <mergeCell ref="L13:M13"/>
    <mergeCell ref="K17:N17"/>
    <mergeCell ref="I29:I30"/>
    <mergeCell ref="J29:J30"/>
    <mergeCell ref="K29:K30"/>
    <mergeCell ref="L29:L30"/>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43"/>
  <sheetViews>
    <sheetView workbookViewId="0">
      <selection activeCell="A37" sqref="A37"/>
    </sheetView>
  </sheetViews>
  <sheetFormatPr baseColWidth="10" defaultColWidth="11.44140625" defaultRowHeight="14.4" x14ac:dyDescent="0.3"/>
  <cols>
    <col min="1" max="1" width="11.44140625" style="342"/>
    <col min="2" max="2" width="8.44140625" style="342" customWidth="1"/>
    <col min="3" max="4" width="11.44140625" style="342"/>
    <col min="5" max="5" width="14.6640625" style="341" customWidth="1"/>
    <col min="6" max="6" width="11.44140625" style="342"/>
    <col min="7" max="9" width="12.5546875" style="342" bestFit="1" customWidth="1"/>
    <col min="10" max="10" width="4.5546875" style="342" bestFit="1" customWidth="1"/>
    <col min="11" max="16384" width="11.44140625" style="342"/>
  </cols>
  <sheetData>
    <row r="2" spans="2:17" x14ac:dyDescent="0.3">
      <c r="B2" s="340" t="s">
        <v>644</v>
      </c>
    </row>
    <row r="3" spans="2:17" x14ac:dyDescent="0.3">
      <c r="C3" s="340" t="s">
        <v>634</v>
      </c>
    </row>
    <row r="5" spans="2:17" x14ac:dyDescent="0.3">
      <c r="C5" s="342" t="s">
        <v>645</v>
      </c>
    </row>
    <row r="6" spans="2:17" ht="17.399999999999999" x14ac:dyDescent="0.55000000000000004">
      <c r="E6" s="351" t="s">
        <v>436</v>
      </c>
      <c r="F6" s="352"/>
      <c r="G6" s="353" t="s">
        <v>514</v>
      </c>
      <c r="H6" s="353" t="s">
        <v>635</v>
      </c>
      <c r="I6" s="353" t="s">
        <v>636</v>
      </c>
    </row>
    <row r="7" spans="2:17" x14ac:dyDescent="0.3">
      <c r="D7" s="344">
        <v>42675</v>
      </c>
      <c r="E7" s="345">
        <v>13458641</v>
      </c>
      <c r="G7" s="345">
        <v>4199639</v>
      </c>
      <c r="H7" s="345">
        <v>6042795</v>
      </c>
      <c r="I7" s="345">
        <v>3216207</v>
      </c>
      <c r="J7" s="345">
        <f>SUM(G7:I7)-E7</f>
        <v>0</v>
      </c>
    </row>
    <row r="8" spans="2:17" x14ac:dyDescent="0.3">
      <c r="D8" s="344">
        <v>42705</v>
      </c>
      <c r="E8" s="345">
        <v>13655844</v>
      </c>
      <c r="G8" s="345">
        <v>4402649</v>
      </c>
      <c r="H8" s="345">
        <v>6038043</v>
      </c>
      <c r="I8" s="345">
        <v>3215152</v>
      </c>
      <c r="J8" s="345">
        <f t="shared" ref="J8:J18" si="0">SUM(G8:I8)-E8</f>
        <v>0</v>
      </c>
      <c r="N8" s="1561" t="s">
        <v>646</v>
      </c>
      <c r="O8" s="1562"/>
      <c r="P8" s="1562"/>
      <c r="Q8" s="1563"/>
    </row>
    <row r="9" spans="2:17" x14ac:dyDescent="0.3">
      <c r="D9" s="346">
        <v>42736</v>
      </c>
      <c r="E9" s="347">
        <v>14126126</v>
      </c>
      <c r="F9" s="348"/>
      <c r="G9" s="347">
        <v>4445078</v>
      </c>
      <c r="H9" s="347">
        <v>6378314</v>
      </c>
      <c r="I9" s="347">
        <v>3302734</v>
      </c>
      <c r="J9" s="347">
        <f t="shared" si="0"/>
        <v>0</v>
      </c>
      <c r="N9" s="354" t="s">
        <v>564</v>
      </c>
      <c r="O9" s="370" t="s">
        <v>565</v>
      </c>
      <c r="P9" s="355" t="s">
        <v>566</v>
      </c>
      <c r="Q9" s="355" t="s">
        <v>436</v>
      </c>
    </row>
    <row r="10" spans="2:17" x14ac:dyDescent="0.3">
      <c r="D10" s="346">
        <v>42767</v>
      </c>
      <c r="E10" s="347">
        <v>12452614</v>
      </c>
      <c r="F10" s="348"/>
      <c r="G10" s="347">
        <v>4072886</v>
      </c>
      <c r="H10" s="347">
        <v>5552392</v>
      </c>
      <c r="I10" s="347">
        <v>2827336</v>
      </c>
      <c r="J10" s="347">
        <f t="shared" si="0"/>
        <v>0</v>
      </c>
      <c r="N10" s="213"/>
      <c r="O10" s="214"/>
      <c r="P10" s="215"/>
      <c r="Q10" s="215"/>
    </row>
    <row r="11" spans="2:17" x14ac:dyDescent="0.3">
      <c r="D11" s="346">
        <v>42795</v>
      </c>
      <c r="E11" s="347">
        <v>13808292</v>
      </c>
      <c r="F11" s="348"/>
      <c r="G11" s="347">
        <v>4419456</v>
      </c>
      <c r="H11" s="347">
        <v>6156364</v>
      </c>
      <c r="I11" s="347">
        <v>3232472</v>
      </c>
      <c r="J11" s="347">
        <f t="shared" si="0"/>
        <v>0</v>
      </c>
      <c r="N11" s="356">
        <f>+H22</f>
        <v>5929949.5</v>
      </c>
      <c r="O11" s="357">
        <f>+I22</f>
        <v>3129411.6</v>
      </c>
      <c r="P11" s="358">
        <f>+G22</f>
        <v>4530022</v>
      </c>
      <c r="Q11" s="377">
        <f>SUM(N11:P11)</f>
        <v>13589383.1</v>
      </c>
    </row>
    <row r="12" spans="2:17" x14ac:dyDescent="0.3">
      <c r="D12" s="346">
        <v>42826</v>
      </c>
      <c r="E12" s="347">
        <v>13046694</v>
      </c>
      <c r="F12" s="348"/>
      <c r="G12" s="347">
        <v>4228722</v>
      </c>
      <c r="H12" s="347">
        <v>5778264</v>
      </c>
      <c r="I12" s="347">
        <v>3039708</v>
      </c>
      <c r="J12" s="347">
        <f t="shared" si="0"/>
        <v>0</v>
      </c>
      <c r="N12" s="372"/>
      <c r="O12" s="216"/>
      <c r="P12" s="373"/>
      <c r="Q12" s="373"/>
    </row>
    <row r="13" spans="2:17" x14ac:dyDescent="0.3">
      <c r="D13" s="346">
        <v>42856</v>
      </c>
      <c r="E13" s="347">
        <v>13436177</v>
      </c>
      <c r="F13" s="348"/>
      <c r="G13" s="347">
        <v>4333832</v>
      </c>
      <c r="H13" s="347">
        <v>6017898</v>
      </c>
      <c r="I13" s="347">
        <v>3084447</v>
      </c>
      <c r="J13" s="347">
        <f t="shared" si="0"/>
        <v>0</v>
      </c>
      <c r="N13" s="374">
        <f>+N11/Q11</f>
        <v>0.43636634984556438</v>
      </c>
      <c r="O13" s="375">
        <f>+O11/$E$7</f>
        <v>0.23252062373905361</v>
      </c>
      <c r="P13" s="376">
        <f>+P11/Q11</f>
        <v>0.33335008415503425</v>
      </c>
      <c r="Q13" s="376">
        <f>+N13+O13+P13</f>
        <v>1.0022370577396522</v>
      </c>
    </row>
    <row r="14" spans="2:17" x14ac:dyDescent="0.3">
      <c r="D14" s="346">
        <v>42887</v>
      </c>
      <c r="E14" s="347">
        <v>13309450</v>
      </c>
      <c r="F14" s="348"/>
      <c r="G14" s="347">
        <v>4426549</v>
      </c>
      <c r="H14" s="347">
        <v>5794953</v>
      </c>
      <c r="I14" s="347">
        <v>3087948</v>
      </c>
      <c r="J14" s="347">
        <f t="shared" si="0"/>
        <v>0</v>
      </c>
      <c r="N14"/>
      <c r="O14"/>
      <c r="P14"/>
      <c r="Q14"/>
    </row>
    <row r="15" spans="2:17" x14ac:dyDescent="0.3">
      <c r="D15" s="346">
        <v>42917</v>
      </c>
      <c r="E15" s="347">
        <v>13656784</v>
      </c>
      <c r="F15" s="348"/>
      <c r="G15" s="347">
        <v>4566887</v>
      </c>
      <c r="H15" s="347">
        <v>5874796</v>
      </c>
      <c r="I15" s="347">
        <v>3215101</v>
      </c>
      <c r="J15" s="347">
        <f t="shared" si="0"/>
        <v>0</v>
      </c>
      <c r="N15"/>
      <c r="O15"/>
      <c r="P15"/>
      <c r="Q15"/>
    </row>
    <row r="16" spans="2:17" x14ac:dyDescent="0.3">
      <c r="D16" s="346">
        <v>42948</v>
      </c>
      <c r="E16" s="347">
        <v>14027908</v>
      </c>
      <c r="F16" s="348"/>
      <c r="G16" s="347">
        <v>4800638</v>
      </c>
      <c r="H16" s="347">
        <v>5994913</v>
      </c>
      <c r="I16" s="347">
        <v>3232357</v>
      </c>
      <c r="J16" s="347">
        <f t="shared" si="0"/>
        <v>0</v>
      </c>
      <c r="N16"/>
      <c r="O16"/>
      <c r="P16"/>
      <c r="Q16"/>
    </row>
    <row r="17" spans="3:17" x14ac:dyDescent="0.3">
      <c r="D17" s="346">
        <v>42979</v>
      </c>
      <c r="E17" s="347">
        <v>13858163</v>
      </c>
      <c r="F17" s="348"/>
      <c r="G17" s="347">
        <v>4923943</v>
      </c>
      <c r="H17" s="347">
        <v>5834262</v>
      </c>
      <c r="I17" s="347">
        <v>3099958</v>
      </c>
      <c r="J17" s="347">
        <f t="shared" si="0"/>
        <v>0</v>
      </c>
      <c r="N17" s="1561" t="s">
        <v>563</v>
      </c>
      <c r="O17" s="1562"/>
      <c r="P17" s="1562"/>
      <c r="Q17" s="1563"/>
    </row>
    <row r="18" spans="3:17" x14ac:dyDescent="0.3">
      <c r="D18" s="346">
        <v>43009</v>
      </c>
      <c r="E18" s="347">
        <v>14171623</v>
      </c>
      <c r="F18" s="348"/>
      <c r="G18" s="347">
        <v>5082229</v>
      </c>
      <c r="H18" s="347">
        <v>5917339</v>
      </c>
      <c r="I18" s="347">
        <v>3172055</v>
      </c>
      <c r="J18" s="347">
        <f t="shared" si="0"/>
        <v>0</v>
      </c>
      <c r="N18" s="306" t="s">
        <v>564</v>
      </c>
      <c r="O18" s="232" t="s">
        <v>565</v>
      </c>
      <c r="P18" s="307" t="s">
        <v>566</v>
      </c>
      <c r="Q18" s="232" t="s">
        <v>436</v>
      </c>
    </row>
    <row r="19" spans="3:17" x14ac:dyDescent="0.3">
      <c r="E19" s="345"/>
      <c r="G19" s="345"/>
      <c r="H19" s="345"/>
      <c r="I19" s="345"/>
      <c r="J19" s="345"/>
      <c r="N19" s="213"/>
      <c r="O19" s="214"/>
      <c r="P19" s="215"/>
      <c r="Q19" s="215"/>
    </row>
    <row r="20" spans="3:17" x14ac:dyDescent="0.3">
      <c r="C20" s="342" t="s">
        <v>637</v>
      </c>
      <c r="E20" s="349">
        <f>AVERAGE(E7:E18)</f>
        <v>13584026.333333334</v>
      </c>
      <c r="G20" s="349">
        <f>AVERAGE(G7:G18)</f>
        <v>4491875.666666667</v>
      </c>
      <c r="H20" s="349">
        <f>AVERAGE(H7:H18)</f>
        <v>5948361.083333333</v>
      </c>
      <c r="I20" s="349">
        <f>AVERAGE(I7:I18)</f>
        <v>3143789.5833333335</v>
      </c>
      <c r="J20" s="345"/>
      <c r="N20" s="356">
        <v>612</v>
      </c>
      <c r="O20" s="357"/>
      <c r="P20" s="358">
        <v>313</v>
      </c>
      <c r="Q20" s="358">
        <f>+N20+O20+P20</f>
        <v>925</v>
      </c>
    </row>
    <row r="21" spans="3:17" x14ac:dyDescent="0.3">
      <c r="N21" s="356">
        <v>137</v>
      </c>
      <c r="O21" s="357"/>
      <c r="P21" s="358">
        <v>70</v>
      </c>
      <c r="Q21" s="358">
        <f>+N21+O21+P21</f>
        <v>207</v>
      </c>
    </row>
    <row r="22" spans="3:17" x14ac:dyDescent="0.3">
      <c r="C22" s="368" t="s">
        <v>638</v>
      </c>
      <c r="D22" s="368"/>
      <c r="E22" s="369">
        <f>AVERAGE(E9:E18)</f>
        <v>13589383.1</v>
      </c>
      <c r="F22" s="368"/>
      <c r="G22" s="369">
        <f>AVERAGE(G9:G18)</f>
        <v>4530022</v>
      </c>
      <c r="H22" s="369">
        <f>AVERAGE(H9:H18)</f>
        <v>5929949.5</v>
      </c>
      <c r="I22" s="369">
        <f>AVERAGE(I9:I18)</f>
        <v>3129411.6</v>
      </c>
      <c r="N22" s="359">
        <v>712</v>
      </c>
      <c r="O22" s="360">
        <f>+O20+O21</f>
        <v>0</v>
      </c>
      <c r="P22" s="361">
        <v>453</v>
      </c>
      <c r="Q22" s="371">
        <f>+N22+O22+P22</f>
        <v>1165</v>
      </c>
    </row>
    <row r="23" spans="3:17" x14ac:dyDescent="0.3">
      <c r="N23" s="372"/>
      <c r="O23" s="216"/>
      <c r="P23" s="233"/>
      <c r="Q23" s="373"/>
    </row>
    <row r="24" spans="3:17" x14ac:dyDescent="0.3">
      <c r="E24" s="350"/>
      <c r="F24" s="350"/>
      <c r="G24" s="350"/>
      <c r="H24" s="350"/>
      <c r="I24" s="350"/>
      <c r="N24" s="374">
        <f>+N22/Q22</f>
        <v>0.61115879828326181</v>
      </c>
      <c r="O24" s="375">
        <f>+O22/$E$17</f>
        <v>0</v>
      </c>
      <c r="P24" s="376">
        <f>+P22/Q22</f>
        <v>0.38884120171673819</v>
      </c>
      <c r="Q24" s="376">
        <f>+N24+O24+P24</f>
        <v>1</v>
      </c>
    </row>
    <row r="25" spans="3:17" x14ac:dyDescent="0.3">
      <c r="F25" s="365">
        <f>+F30/H30</f>
        <v>0.6666499158449658</v>
      </c>
      <c r="G25" s="365">
        <f>+G30/H30</f>
        <v>0.33335008415503425</v>
      </c>
      <c r="N25"/>
      <c r="O25"/>
      <c r="P25"/>
      <c r="Q25"/>
    </row>
    <row r="26" spans="3:17" x14ac:dyDescent="0.3">
      <c r="N26" s="1561" t="s">
        <v>639</v>
      </c>
      <c r="O26" s="1562"/>
      <c r="P26" s="1562"/>
      <c r="Q26" s="1563"/>
    </row>
    <row r="27" spans="3:17" x14ac:dyDescent="0.3">
      <c r="E27" s="1561" t="s">
        <v>639</v>
      </c>
      <c r="F27" s="1562"/>
      <c r="G27" s="1562"/>
      <c r="H27" s="1563"/>
      <c r="N27" s="354" t="s">
        <v>470</v>
      </c>
      <c r="O27" s="232" t="s">
        <v>647</v>
      </c>
      <c r="P27" s="355" t="s">
        <v>648</v>
      </c>
      <c r="Q27" s="232" t="s">
        <v>640</v>
      </c>
    </row>
    <row r="28" spans="3:17" x14ac:dyDescent="0.3">
      <c r="E28" s="354" t="s">
        <v>470</v>
      </c>
      <c r="F28" s="232" t="s">
        <v>640</v>
      </c>
      <c r="G28" s="355" t="s">
        <v>566</v>
      </c>
      <c r="H28" s="232" t="s">
        <v>640</v>
      </c>
      <c r="N28" s="213"/>
      <c r="O28" s="214"/>
      <c r="P28" s="215"/>
      <c r="Q28" s="215"/>
    </row>
    <row r="29" spans="3:17" x14ac:dyDescent="0.3">
      <c r="E29" s="213"/>
      <c r="F29" s="214"/>
      <c r="G29" s="215"/>
      <c r="H29" s="215"/>
      <c r="N29" s="356" t="s">
        <v>641</v>
      </c>
      <c r="O29" s="357">
        <f>+N13*K13</f>
        <v>0</v>
      </c>
      <c r="P29" s="358">
        <f>+P13*K13</f>
        <v>0</v>
      </c>
      <c r="Q29" s="358">
        <f>K13</f>
        <v>0</v>
      </c>
    </row>
    <row r="30" spans="3:17" x14ac:dyDescent="0.3">
      <c r="E30" s="356" t="s">
        <v>641</v>
      </c>
      <c r="F30" s="357">
        <f>+H22+I22</f>
        <v>9059361.0999999996</v>
      </c>
      <c r="G30" s="358">
        <f>+G22</f>
        <v>4530022</v>
      </c>
      <c r="H30" s="358">
        <f>+F30+G30</f>
        <v>13589383.1</v>
      </c>
      <c r="N30" s="356" t="s">
        <v>596</v>
      </c>
      <c r="O30" s="357">
        <f>+N24*H21</f>
        <v>0</v>
      </c>
      <c r="P30" s="357">
        <f>+P24*H21</f>
        <v>0</v>
      </c>
      <c r="Q30" s="358">
        <v>1440</v>
      </c>
    </row>
    <row r="31" spans="3:17" x14ac:dyDescent="0.3">
      <c r="E31" s="356" t="s">
        <v>596</v>
      </c>
      <c r="F31" s="357">
        <f>+E22+F22</f>
        <v>13589383.1</v>
      </c>
      <c r="G31" s="358">
        <f>+G22</f>
        <v>4530022</v>
      </c>
      <c r="H31" s="358">
        <f>+F31+G31</f>
        <v>18119405.100000001</v>
      </c>
      <c r="N31" s="359"/>
      <c r="O31" s="360"/>
      <c r="P31" s="361"/>
      <c r="Q31" s="361"/>
    </row>
    <row r="32" spans="3:17" x14ac:dyDescent="0.3">
      <c r="E32" s="359"/>
      <c r="F32" s="360"/>
      <c r="G32" s="361"/>
      <c r="H32" s="361"/>
      <c r="N32" s="362" t="s">
        <v>642</v>
      </c>
      <c r="O32" s="363" t="e">
        <f>+O29/O30</f>
        <v>#DIV/0!</v>
      </c>
      <c r="P32" s="364" t="e">
        <f>+P29/P30</f>
        <v>#DIV/0!</v>
      </c>
      <c r="Q32" s="364">
        <f>+Q29/Q30</f>
        <v>0</v>
      </c>
    </row>
    <row r="33" spans="4:8" x14ac:dyDescent="0.3">
      <c r="E33" s="362" t="s">
        <v>642</v>
      </c>
      <c r="F33" s="366">
        <f>+F30/F31</f>
        <v>0.6666499158449658</v>
      </c>
      <c r="G33" s="367">
        <f>+G30/G31</f>
        <v>1</v>
      </c>
      <c r="H33" s="367">
        <f>+H30/H31</f>
        <v>0.74999057778116562</v>
      </c>
    </row>
    <row r="38" spans="4:8" x14ac:dyDescent="0.3">
      <c r="D38" s="342" t="s">
        <v>649</v>
      </c>
    </row>
    <row r="39" spans="4:8" x14ac:dyDescent="0.3">
      <c r="D39" s="343" t="s">
        <v>564</v>
      </c>
      <c r="E39" s="343" t="s">
        <v>565</v>
      </c>
      <c r="F39" s="343" t="s">
        <v>566</v>
      </c>
      <c r="H39" s="342" t="s">
        <v>650</v>
      </c>
    </row>
    <row r="40" spans="4:8" x14ac:dyDescent="0.3">
      <c r="D40" s="379">
        <v>712</v>
      </c>
      <c r="E40" s="379">
        <v>275</v>
      </c>
      <c r="F40" s="379">
        <v>453</v>
      </c>
      <c r="G40" s="380"/>
      <c r="H40" s="380">
        <v>1440</v>
      </c>
    </row>
    <row r="41" spans="4:8" x14ac:dyDescent="0.3">
      <c r="D41" s="378">
        <f>+D40/$H$40</f>
        <v>0.49444444444444446</v>
      </c>
      <c r="E41" s="378">
        <f>+E40/$H$40</f>
        <v>0.19097222222222221</v>
      </c>
      <c r="F41" s="378">
        <f>+F40/$H$40</f>
        <v>0.31458333333333333</v>
      </c>
    </row>
    <row r="42" spans="4:8" x14ac:dyDescent="0.3">
      <c r="H42" s="342" t="s">
        <v>651</v>
      </c>
    </row>
    <row r="43" spans="4:8" x14ac:dyDescent="0.3">
      <c r="D43" s="379">
        <f>+D41*$H$43</f>
        <v>640.79999999999995</v>
      </c>
      <c r="E43" s="379">
        <f>+E41*$H$43</f>
        <v>247.49999999999994</v>
      </c>
      <c r="F43" s="379">
        <f>+F41*$H$43</f>
        <v>407.69999999999993</v>
      </c>
      <c r="G43" s="380"/>
      <c r="H43" s="380">
        <v>1295.9999999999998</v>
      </c>
    </row>
  </sheetData>
  <mergeCells count="4">
    <mergeCell ref="E27:H27"/>
    <mergeCell ref="N8:Q8"/>
    <mergeCell ref="N17:Q17"/>
    <mergeCell ref="N26:Q26"/>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02"/>
  <sheetViews>
    <sheetView showGridLines="0" zoomScale="70" zoomScaleNormal="70" workbookViewId="0"/>
  </sheetViews>
  <sheetFormatPr baseColWidth="10" defaultRowHeight="13.2" x14ac:dyDescent="0.25"/>
  <cols>
    <col min="1" max="1" width="13.44140625" style="2" customWidth="1"/>
    <col min="2" max="2" width="16.5546875" customWidth="1"/>
    <col min="3" max="3" width="15.5546875" customWidth="1"/>
    <col min="4" max="4" width="13" customWidth="1"/>
    <col min="5" max="5" width="15.5546875" customWidth="1"/>
    <col min="6" max="6" width="12.109375" style="1" customWidth="1"/>
    <col min="7" max="7" width="10.33203125" customWidth="1"/>
    <col min="8" max="8" width="20.88671875" customWidth="1"/>
    <col min="10" max="10" width="27.44140625" style="10" customWidth="1"/>
    <col min="11" max="11" width="9.6640625" customWidth="1"/>
    <col min="12" max="12" width="9.6640625" bestFit="1" customWidth="1"/>
    <col min="13" max="13" width="12.88671875" style="10" bestFit="1" customWidth="1"/>
    <col min="14" max="14" width="11" customWidth="1"/>
    <col min="15" max="15" width="12.88671875" bestFit="1" customWidth="1"/>
    <col min="16" max="16" width="17.6640625" customWidth="1"/>
    <col min="17" max="17" width="11.5546875" bestFit="1" customWidth="1"/>
  </cols>
  <sheetData>
    <row r="1" spans="1:14" s="2" customFormat="1" x14ac:dyDescent="0.25">
      <c r="A1" s="5" t="s">
        <v>0</v>
      </c>
      <c r="B1" s="6" t="s">
        <v>1</v>
      </c>
      <c r="C1" s="6"/>
      <c r="D1" s="6"/>
      <c r="E1" s="6"/>
      <c r="F1" s="7"/>
      <c r="G1" s="6"/>
      <c r="H1" s="6"/>
      <c r="I1" s="6"/>
      <c r="J1" s="18"/>
      <c r="K1" s="6"/>
      <c r="L1" s="6"/>
      <c r="M1" s="11"/>
    </row>
    <row r="3" spans="1:14" s="2" customFormat="1" ht="17.399999999999999" x14ac:dyDescent="0.3">
      <c r="A3" s="147" t="s">
        <v>2</v>
      </c>
      <c r="B3" s="148" t="s">
        <v>3</v>
      </c>
      <c r="C3" s="148"/>
      <c r="D3" s="148"/>
      <c r="E3" s="148"/>
      <c r="F3" s="149" t="s">
        <v>24</v>
      </c>
      <c r="G3" s="148"/>
      <c r="H3" s="148"/>
      <c r="I3" s="148"/>
      <c r="J3" s="150"/>
      <c r="K3" s="148"/>
      <c r="L3" s="148"/>
      <c r="M3" s="151">
        <f>+M45+M56</f>
        <v>489.10967933466691</v>
      </c>
      <c r="N3" s="174" t="s">
        <v>462</v>
      </c>
    </row>
    <row r="5" spans="1:14" s="2" customFormat="1" x14ac:dyDescent="0.25">
      <c r="A5" s="1586" t="s">
        <v>191</v>
      </c>
      <c r="B5" s="1581" t="s">
        <v>192</v>
      </c>
      <c r="C5" s="1581"/>
      <c r="D5" s="1586" t="s">
        <v>4</v>
      </c>
      <c r="E5" s="1587" t="str">
        <f>+J10&amp;" . "&amp;J12&amp;" . "&amp;ROUND(J14,2)&amp;" . "&amp;ROUND(J17,3)&amp;" . "&amp;J19&amp;" . "&amp;J23</f>
        <v>0,4207 . 192 . 5445,3 . 1,236 . 1,06666666666667 . 2,5</v>
      </c>
      <c r="F5" s="1587"/>
      <c r="G5" s="1587"/>
      <c r="H5" s="1587"/>
      <c r="I5" s="1586" t="s">
        <v>4</v>
      </c>
      <c r="J5" s="1417">
        <f>+(J10*J12*J14*J17*J23*J19)/J21</f>
        <v>224.14966078581691</v>
      </c>
    </row>
    <row r="6" spans="1:14" s="2" customFormat="1" x14ac:dyDescent="0.25">
      <c r="A6" s="1586"/>
      <c r="B6" s="1588" t="s">
        <v>329</v>
      </c>
      <c r="C6" s="1588"/>
      <c r="D6" s="1586"/>
      <c r="E6" s="1589">
        <f>+ROUND(J21,2)</f>
        <v>6467.9</v>
      </c>
      <c r="F6" s="1589"/>
      <c r="G6" s="1589"/>
      <c r="H6" s="1589"/>
      <c r="I6" s="1586"/>
      <c r="J6" s="1417"/>
    </row>
    <row r="8" spans="1:14" x14ac:dyDescent="0.25">
      <c r="A8" s="8" t="s">
        <v>5</v>
      </c>
    </row>
    <row r="10" spans="1:14" x14ac:dyDescent="0.25">
      <c r="A10" s="4" t="s">
        <v>193</v>
      </c>
      <c r="B10" s="8" t="s">
        <v>194</v>
      </c>
      <c r="J10" s="126">
        <f>+'Hoja Llave'!M41</f>
        <v>0.42070000000000002</v>
      </c>
    </row>
    <row r="11" spans="1:14" x14ac:dyDescent="0.25">
      <c r="J11" s="20"/>
    </row>
    <row r="12" spans="1:14" x14ac:dyDescent="0.25">
      <c r="A12" s="4" t="s">
        <v>12</v>
      </c>
      <c r="B12" t="s">
        <v>6</v>
      </c>
      <c r="J12" s="126">
        <f>+'Hoja Llave'!M3</f>
        <v>192</v>
      </c>
    </row>
    <row r="13" spans="1:14" x14ac:dyDescent="0.25">
      <c r="J13" s="20"/>
    </row>
    <row r="14" spans="1:14" x14ac:dyDescent="0.25">
      <c r="A14" s="1403" t="s">
        <v>195</v>
      </c>
      <c r="B14" s="66" t="s">
        <v>373</v>
      </c>
      <c r="C14" s="37"/>
      <c r="D14" s="37"/>
      <c r="E14" s="37"/>
      <c r="F14" s="37"/>
      <c r="G14" s="26"/>
      <c r="H14" s="26"/>
      <c r="J14" s="1575">
        <f>+'Hoja Llave'!M39</f>
        <v>5445.3036458333336</v>
      </c>
    </row>
    <row r="15" spans="1:14" x14ac:dyDescent="0.25">
      <c r="A15" s="1403"/>
      <c r="B15" s="1420" t="s">
        <v>7</v>
      </c>
      <c r="C15" s="1420"/>
      <c r="D15" s="1420"/>
      <c r="E15" s="1420"/>
      <c r="F15" s="1420"/>
      <c r="G15" s="1420"/>
      <c r="J15" s="1575"/>
    </row>
    <row r="16" spans="1:14" x14ac:dyDescent="0.25">
      <c r="J16" s="20"/>
    </row>
    <row r="17" spans="1:10" x14ac:dyDescent="0.25">
      <c r="A17" s="4" t="s">
        <v>11</v>
      </c>
      <c r="B17" t="s">
        <v>170</v>
      </c>
      <c r="J17" s="126">
        <f>+'Hoja Llave'!M4</f>
        <v>1.2360515021459226</v>
      </c>
    </row>
    <row r="18" spans="1:10" x14ac:dyDescent="0.25">
      <c r="A18" s="4"/>
      <c r="J18" s="20"/>
    </row>
    <row r="19" spans="1:10" x14ac:dyDescent="0.25">
      <c r="A19" s="4" t="s">
        <v>197</v>
      </c>
      <c r="B19" s="8" t="s">
        <v>198</v>
      </c>
      <c r="J19" s="126">
        <f>+'Hoja Llave'!M44</f>
        <v>1.0666666666666667</v>
      </c>
    </row>
    <row r="20" spans="1:10" x14ac:dyDescent="0.25">
      <c r="A20" s="4"/>
      <c r="J20" s="20"/>
    </row>
    <row r="21" spans="1:10" x14ac:dyDescent="0.25">
      <c r="A21" s="4" t="s">
        <v>329</v>
      </c>
      <c r="B21" s="8" t="s">
        <v>196</v>
      </c>
      <c r="J21" s="126">
        <f>+'Hoja Llave'!M30</f>
        <v>6467.8964162485545</v>
      </c>
    </row>
    <row r="22" spans="1:10" x14ac:dyDescent="0.25">
      <c r="A22" s="4"/>
      <c r="J22" s="20"/>
    </row>
    <row r="23" spans="1:10" x14ac:dyDescent="0.25">
      <c r="A23" s="4" t="s">
        <v>199</v>
      </c>
      <c r="B23" s="8" t="s">
        <v>200</v>
      </c>
      <c r="J23" s="126">
        <f>+'Hoja Llave'!M31</f>
        <v>2.5</v>
      </c>
    </row>
    <row r="24" spans="1:10" x14ac:dyDescent="0.25">
      <c r="A24" s="4"/>
      <c r="J24" s="20"/>
    </row>
    <row r="25" spans="1:10" x14ac:dyDescent="0.25">
      <c r="A25" s="4"/>
      <c r="J25" s="20"/>
    </row>
    <row r="26" spans="1:10" x14ac:dyDescent="0.25">
      <c r="A26" s="187" t="s">
        <v>201</v>
      </c>
      <c r="B26" s="1583" t="s">
        <v>330</v>
      </c>
      <c r="C26" s="1583"/>
      <c r="D26" s="1583"/>
      <c r="E26" s="185" t="s">
        <v>4</v>
      </c>
      <c r="F26" s="1581" t="str">
        <f>+J31&amp;" . "&amp;J33&amp;" . "&amp;ROUND(J35,4)&amp;" . "&amp;ROUND(J37,4)&amp;" . "&amp;J39&amp;" . "&amp;J43</f>
        <v>0,5793 . 192 . 5445,3036 . 1,2361 . 1,14285714285714 . 3</v>
      </c>
      <c r="G26" s="1581"/>
      <c r="H26" s="1581"/>
      <c r="I26" s="145" t="s">
        <v>4</v>
      </c>
      <c r="J26" s="80">
        <f>+(J31*J33*J35*J37*J39*J43)/(J41)</f>
        <v>264.96001854885003</v>
      </c>
    </row>
    <row r="27" spans="1:10" x14ac:dyDescent="0.25">
      <c r="A27" s="187"/>
      <c r="B27" s="1584" t="s">
        <v>369</v>
      </c>
      <c r="C27" s="1584"/>
      <c r="D27" s="1584"/>
      <c r="E27" s="186"/>
      <c r="F27" s="1585">
        <f>+J41</f>
        <v>9687.155750650114</v>
      </c>
      <c r="G27" s="1585"/>
      <c r="H27" s="1585"/>
      <c r="I27" s="146"/>
      <c r="J27" s="128"/>
    </row>
    <row r="28" spans="1:10" x14ac:dyDescent="0.25">
      <c r="A28" s="4"/>
      <c r="J28" s="20"/>
    </row>
    <row r="29" spans="1:10" x14ac:dyDescent="0.25">
      <c r="A29" s="4" t="s">
        <v>202</v>
      </c>
      <c r="J29" s="20"/>
    </row>
    <row r="30" spans="1:10" x14ac:dyDescent="0.25">
      <c r="A30" s="4"/>
      <c r="J30" s="20"/>
    </row>
    <row r="31" spans="1:10" x14ac:dyDescent="0.25">
      <c r="A31" s="4" t="s">
        <v>203</v>
      </c>
      <c r="B31" s="8" t="s">
        <v>206</v>
      </c>
      <c r="J31" s="126">
        <f>+'Hoja Llave'!M42</f>
        <v>0.57930000000000004</v>
      </c>
    </row>
    <row r="32" spans="1:10" x14ac:dyDescent="0.25">
      <c r="A32" s="4"/>
      <c r="J32" s="20"/>
    </row>
    <row r="33" spans="1:14" x14ac:dyDescent="0.25">
      <c r="A33" s="4" t="s">
        <v>174</v>
      </c>
      <c r="B33" s="8" t="s">
        <v>6</v>
      </c>
      <c r="J33" s="20">
        <f>+'Hoja Llave'!M3</f>
        <v>192</v>
      </c>
    </row>
    <row r="34" spans="1:14" x14ac:dyDescent="0.25">
      <c r="A34" s="4"/>
      <c r="J34" s="20"/>
    </row>
    <row r="35" spans="1:14" x14ac:dyDescent="0.25">
      <c r="A35" s="4" t="s">
        <v>204</v>
      </c>
      <c r="B35" s="1425" t="s">
        <v>363</v>
      </c>
      <c r="C35" s="1425"/>
      <c r="D35" s="1425"/>
      <c r="E35" s="36" t="str">
        <f>+"("&amp;'Hoja Llave'!J48&amp;"x1,1)"</f>
        <v>(950453x1,1)</v>
      </c>
      <c r="F35" s="36"/>
      <c r="J35" s="126">
        <f>+'Hoja Llave'!M40</f>
        <v>5445.3036458333336</v>
      </c>
    </row>
    <row r="36" spans="1:14" x14ac:dyDescent="0.25">
      <c r="A36" s="4"/>
      <c r="B36" s="1418" t="s">
        <v>207</v>
      </c>
      <c r="C36" s="1418"/>
      <c r="D36" s="1418"/>
      <c r="E36" s="1418"/>
      <c r="F36" s="1418"/>
      <c r="J36" s="20"/>
    </row>
    <row r="37" spans="1:14" x14ac:dyDescent="0.25">
      <c r="A37" s="4" t="s">
        <v>175</v>
      </c>
      <c r="B37" s="8" t="s">
        <v>208</v>
      </c>
      <c r="J37" s="20">
        <f>+'Hoja Llave'!M4</f>
        <v>1.2360515021459226</v>
      </c>
    </row>
    <row r="38" spans="1:14" x14ac:dyDescent="0.25">
      <c r="A38" s="4"/>
      <c r="J38" s="20"/>
    </row>
    <row r="39" spans="1:14" x14ac:dyDescent="0.25">
      <c r="A39" s="4" t="s">
        <v>205</v>
      </c>
      <c r="B39" s="8" t="s">
        <v>198</v>
      </c>
      <c r="J39" s="126">
        <f>+'Hoja Llave'!M45</f>
        <v>1.1428571428571428</v>
      </c>
    </row>
    <row r="40" spans="1:14" x14ac:dyDescent="0.25">
      <c r="A40" s="4"/>
      <c r="J40" s="20"/>
    </row>
    <row r="41" spans="1:14" x14ac:dyDescent="0.25">
      <c r="A41" s="4" t="s">
        <v>218</v>
      </c>
      <c r="B41" s="8" t="s">
        <v>209</v>
      </c>
      <c r="J41" s="126">
        <f>+'Hoja Llave'!M46</f>
        <v>9687.155750650114</v>
      </c>
    </row>
    <row r="42" spans="1:14" x14ac:dyDescent="0.25">
      <c r="A42" s="4"/>
      <c r="J42" s="20"/>
    </row>
    <row r="43" spans="1:14" x14ac:dyDescent="0.25">
      <c r="A43" s="4" t="s">
        <v>210</v>
      </c>
      <c r="B43" s="8" t="s">
        <v>211</v>
      </c>
      <c r="J43" s="126">
        <f>+'Hoja Llave'!M43</f>
        <v>3</v>
      </c>
    </row>
    <row r="44" spans="1:14" x14ac:dyDescent="0.25">
      <c r="A44" s="4"/>
      <c r="B44" s="8"/>
    </row>
    <row r="45" spans="1:14" s="2" customFormat="1" x14ac:dyDescent="0.25">
      <c r="A45" s="61" t="s">
        <v>212</v>
      </c>
      <c r="B45" s="1571" t="s">
        <v>222</v>
      </c>
      <c r="C45" s="1571"/>
      <c r="D45" s="1571"/>
      <c r="E45" s="42" t="s">
        <v>4</v>
      </c>
      <c r="F45" s="1571" t="str">
        <f>+ROUND(J5,4)&amp;" + "&amp;ROUND(J26,4)</f>
        <v>224,1497 + 264,96</v>
      </c>
      <c r="G45" s="1571"/>
      <c r="H45" s="42"/>
      <c r="I45" s="42" t="s">
        <v>4</v>
      </c>
      <c r="J45" s="127"/>
      <c r="K45" s="42"/>
      <c r="L45" s="42"/>
      <c r="M45" s="202">
        <f>+J5+J26</f>
        <v>489.10967933466691</v>
      </c>
    </row>
    <row r="46" spans="1:14" s="2" customFormat="1" x14ac:dyDescent="0.25">
      <c r="A46" s="4"/>
      <c r="B46" s="4"/>
      <c r="C46" s="4"/>
      <c r="D46" s="4"/>
      <c r="F46" s="4"/>
      <c r="G46" s="4"/>
      <c r="J46" s="13"/>
      <c r="M46" s="13"/>
    </row>
    <row r="47" spans="1:14" s="2" customFormat="1" x14ac:dyDescent="0.25">
      <c r="A47" s="129" t="s">
        <v>392</v>
      </c>
      <c r="B47" s="130"/>
      <c r="C47" s="130"/>
      <c r="D47" s="130"/>
      <c r="E47" s="131"/>
      <c r="F47" s="130"/>
      <c r="G47" s="130"/>
      <c r="H47" s="131"/>
      <c r="I47" s="131"/>
      <c r="J47" s="132"/>
      <c r="K47" s="131"/>
      <c r="L47" s="131"/>
      <c r="M47" s="132"/>
      <c r="N47" s="1578" t="s">
        <v>461</v>
      </c>
    </row>
    <row r="48" spans="1:14" s="2" customFormat="1" x14ac:dyDescent="0.25">
      <c r="A48" s="133"/>
      <c r="B48" s="185"/>
      <c r="C48" s="185"/>
      <c r="D48" s="185"/>
      <c r="E48" s="134"/>
      <c r="F48" s="185"/>
      <c r="G48" s="185"/>
      <c r="H48" s="134"/>
      <c r="I48" s="134"/>
      <c r="J48" s="135"/>
      <c r="K48" s="134"/>
      <c r="L48" s="134"/>
      <c r="M48" s="135"/>
      <c r="N48" s="1579"/>
    </row>
    <row r="49" spans="1:14" x14ac:dyDescent="0.25">
      <c r="A49" s="133" t="s">
        <v>387</v>
      </c>
      <c r="B49" s="1581" t="s">
        <v>388</v>
      </c>
      <c r="C49" s="1581"/>
      <c r="D49" s="1581"/>
      <c r="E49" s="136"/>
      <c r="F49" s="137"/>
      <c r="G49" s="136"/>
      <c r="H49" s="136"/>
      <c r="I49" s="136"/>
      <c r="J49" s="138">
        <f>+(J10*1940*J23)/J21</f>
        <v>0.31546500882020151</v>
      </c>
      <c r="K49" s="136"/>
      <c r="L49" s="136"/>
      <c r="M49" s="138"/>
      <c r="N49" s="1579"/>
    </row>
    <row r="50" spans="1:14" x14ac:dyDescent="0.25">
      <c r="A50" s="133"/>
      <c r="B50" s="1582" t="s">
        <v>329</v>
      </c>
      <c r="C50" s="1582"/>
      <c r="D50" s="1582"/>
      <c r="E50" s="136"/>
      <c r="F50" s="137"/>
      <c r="G50" s="136"/>
      <c r="H50" s="136"/>
      <c r="I50" s="136"/>
      <c r="J50" s="138"/>
      <c r="K50" s="136"/>
      <c r="L50" s="136"/>
      <c r="M50" s="138"/>
      <c r="N50" s="1579"/>
    </row>
    <row r="51" spans="1:14" x14ac:dyDescent="0.25">
      <c r="A51" s="133"/>
      <c r="B51" s="136"/>
      <c r="C51" s="136"/>
      <c r="D51" s="136"/>
      <c r="E51" s="136"/>
      <c r="F51" s="137"/>
      <c r="G51" s="136"/>
      <c r="H51" s="136"/>
      <c r="I51" s="136"/>
      <c r="J51" s="138"/>
      <c r="K51" s="136"/>
      <c r="L51" s="136"/>
      <c r="M51" s="138"/>
      <c r="N51" s="1579"/>
    </row>
    <row r="52" spans="1:14" x14ac:dyDescent="0.25">
      <c r="A52" s="133" t="s">
        <v>389</v>
      </c>
      <c r="B52" s="1581" t="s">
        <v>390</v>
      </c>
      <c r="C52" s="1581"/>
      <c r="D52" s="1581"/>
      <c r="E52" s="136"/>
      <c r="F52" s="137"/>
      <c r="G52" s="136"/>
      <c r="H52" s="136"/>
      <c r="I52" s="136"/>
      <c r="J52" s="138">
        <f>+(J31*2336*J43)/J41</f>
        <v>0.41908424975282843</v>
      </c>
      <c r="K52" s="136"/>
      <c r="L52" s="136"/>
      <c r="M52" s="138"/>
      <c r="N52" s="1579"/>
    </row>
    <row r="53" spans="1:14" x14ac:dyDescent="0.25">
      <c r="A53" s="133"/>
      <c r="B53" s="1582" t="s">
        <v>391</v>
      </c>
      <c r="C53" s="1582"/>
      <c r="D53" s="1582"/>
      <c r="E53" s="136"/>
      <c r="F53" s="137"/>
      <c r="G53" s="136"/>
      <c r="H53" s="136"/>
      <c r="I53" s="136"/>
      <c r="J53" s="138"/>
      <c r="K53" s="136"/>
      <c r="L53" s="136"/>
      <c r="M53" s="138"/>
      <c r="N53" s="1579"/>
    </row>
    <row r="54" spans="1:14" x14ac:dyDescent="0.25">
      <c r="A54" s="133"/>
      <c r="B54" s="185"/>
      <c r="C54" s="185"/>
      <c r="D54" s="185"/>
      <c r="E54" s="136"/>
      <c r="F54" s="137"/>
      <c r="G54" s="136"/>
      <c r="H54" s="136"/>
      <c r="I54" s="136"/>
      <c r="J54" s="138"/>
      <c r="K54" s="136"/>
      <c r="L54" s="136"/>
      <c r="M54" s="138"/>
      <c r="N54" s="1579"/>
    </row>
    <row r="55" spans="1:14" x14ac:dyDescent="0.25">
      <c r="A55" s="139" t="s">
        <v>386</v>
      </c>
      <c r="B55" s="184"/>
      <c r="C55" s="184"/>
      <c r="D55" s="184"/>
      <c r="E55" s="140"/>
      <c r="F55" s="141"/>
      <c r="G55" s="140"/>
      <c r="H55" s="140"/>
      <c r="I55" s="140"/>
      <c r="J55" s="142"/>
      <c r="K55" s="140"/>
      <c r="L55" s="140"/>
      <c r="M55" s="143">
        <f>+J52+J49</f>
        <v>0.73454925857303</v>
      </c>
      <c r="N55" s="1580"/>
    </row>
    <row r="56" spans="1:14" x14ac:dyDescent="0.25">
      <c r="A56" s="4"/>
      <c r="B56" s="4"/>
      <c r="C56" s="4"/>
      <c r="D56" s="4"/>
    </row>
    <row r="57" spans="1:14" x14ac:dyDescent="0.25">
      <c r="A57" s="4"/>
    </row>
    <row r="58" spans="1:14" s="2" customFormat="1" ht="17.399999999999999" x14ac:dyDescent="0.3">
      <c r="A58" s="147" t="s">
        <v>8</v>
      </c>
      <c r="B58" s="148" t="s">
        <v>9</v>
      </c>
      <c r="C58" s="148"/>
      <c r="D58" s="148"/>
      <c r="E58" s="148"/>
      <c r="F58" s="149" t="s">
        <v>23</v>
      </c>
      <c r="G58" s="148"/>
      <c r="H58" s="148"/>
      <c r="I58" s="148"/>
      <c r="J58" s="150"/>
      <c r="K58" s="148"/>
      <c r="L58" s="148"/>
      <c r="M58" s="152">
        <f>+M93</f>
        <v>16.087256693361873</v>
      </c>
      <c r="N58" s="174" t="s">
        <v>462</v>
      </c>
    </row>
    <row r="60" spans="1:14" s="2" customFormat="1" x14ac:dyDescent="0.25">
      <c r="A60" s="1570" t="s">
        <v>10</v>
      </c>
      <c r="B60" s="1573" t="s">
        <v>213</v>
      </c>
      <c r="C60" s="1573"/>
      <c r="D60" s="1570" t="s">
        <v>4</v>
      </c>
      <c r="E60" s="1576" t="str">
        <f>+J66&amp;" . "&amp;J68&amp;" . "&amp;ROUND(J70,2)&amp;" . "&amp;J73</f>
        <v>0,4207 . 10 . 5445,3 . 1,6</v>
      </c>
      <c r="F60" s="1576"/>
      <c r="G60" s="1576"/>
      <c r="H60" s="1576"/>
      <c r="I60" s="1570" t="s">
        <v>4</v>
      </c>
      <c r="J60" s="127">
        <f>+J68*J70*J73*J66/J75</f>
        <v>5.6669781860997555</v>
      </c>
    </row>
    <row r="61" spans="1:14" s="2" customFormat="1" x14ac:dyDescent="0.25">
      <c r="A61" s="1570"/>
      <c r="B61" s="1571" t="s">
        <v>329</v>
      </c>
      <c r="C61" s="1571"/>
      <c r="D61" s="1570"/>
      <c r="E61" s="1572">
        <f>+J75</f>
        <v>6467.8964162485545</v>
      </c>
      <c r="F61" s="1572"/>
      <c r="G61" s="1572"/>
      <c r="H61" s="1572"/>
      <c r="I61" s="1570"/>
      <c r="J61" s="127"/>
      <c r="M61" s="13"/>
    </row>
    <row r="62" spans="1:14" x14ac:dyDescent="0.25">
      <c r="J62" s="20"/>
    </row>
    <row r="63" spans="1:14" x14ac:dyDescent="0.25">
      <c r="J63" s="20"/>
    </row>
    <row r="64" spans="1:14" x14ac:dyDescent="0.25">
      <c r="A64" s="8" t="s">
        <v>5</v>
      </c>
      <c r="J64" s="20"/>
    </row>
    <row r="65" spans="1:10" x14ac:dyDescent="0.25">
      <c r="J65" s="20"/>
    </row>
    <row r="66" spans="1:10" x14ac:dyDescent="0.25">
      <c r="A66" s="4" t="s">
        <v>193</v>
      </c>
      <c r="B66" s="8" t="s">
        <v>194</v>
      </c>
      <c r="J66" s="20">
        <f>+'Hoja Llave'!M41</f>
        <v>0.42070000000000002</v>
      </c>
    </row>
    <row r="67" spans="1:10" x14ac:dyDescent="0.25">
      <c r="J67" s="20"/>
    </row>
    <row r="68" spans="1:10" x14ac:dyDescent="0.25">
      <c r="A68" s="4" t="s">
        <v>214</v>
      </c>
      <c r="B68" s="8" t="s">
        <v>332</v>
      </c>
      <c r="J68" s="126">
        <f>+'Hoja Llave'!M37</f>
        <v>10</v>
      </c>
    </row>
    <row r="69" spans="1:10" x14ac:dyDescent="0.25">
      <c r="J69" s="20"/>
    </row>
    <row r="70" spans="1:10" x14ac:dyDescent="0.25">
      <c r="A70" s="1403" t="s">
        <v>195</v>
      </c>
      <c r="B70" s="36" t="s">
        <v>365</v>
      </c>
      <c r="C70" s="37"/>
      <c r="D70" s="37"/>
      <c r="E70" s="37"/>
      <c r="F70" s="37"/>
      <c r="G70" s="36" t="str">
        <f>+"("&amp;'Hoja Llave'!J32&amp;"x1,1)"</f>
        <v>(950453x1,1)</v>
      </c>
      <c r="H70" s="26"/>
      <c r="J70" s="1575">
        <f>+'Hoja Llave'!M39</f>
        <v>5445.3036458333336</v>
      </c>
    </row>
    <row r="71" spans="1:10" x14ac:dyDescent="0.25">
      <c r="A71" s="1403"/>
      <c r="B71" s="1420" t="s">
        <v>7</v>
      </c>
      <c r="C71" s="1420"/>
      <c r="D71" s="1420"/>
      <c r="E71" s="1420"/>
      <c r="F71" s="1420"/>
      <c r="G71" s="1420"/>
      <c r="J71" s="1575"/>
    </row>
    <row r="72" spans="1:10" x14ac:dyDescent="0.25">
      <c r="J72" s="20"/>
    </row>
    <row r="73" spans="1:10" x14ac:dyDescent="0.25">
      <c r="A73" s="4" t="s">
        <v>215</v>
      </c>
      <c r="B73" t="s">
        <v>13</v>
      </c>
      <c r="J73" s="126">
        <f>+'Hoja Llave'!M38</f>
        <v>1.6</v>
      </c>
    </row>
    <row r="74" spans="1:10" x14ac:dyDescent="0.25">
      <c r="A74" s="4"/>
      <c r="J74" s="20"/>
    </row>
    <row r="75" spans="1:10" x14ac:dyDescent="0.25">
      <c r="A75" s="4" t="s">
        <v>329</v>
      </c>
      <c r="B75" s="8" t="s">
        <v>216</v>
      </c>
      <c r="J75" s="126">
        <f>+J21</f>
        <v>6467.8964162485545</v>
      </c>
    </row>
    <row r="76" spans="1:10" x14ac:dyDescent="0.25">
      <c r="A76" s="4"/>
      <c r="B76" s="8"/>
      <c r="J76" s="20"/>
    </row>
    <row r="77" spans="1:10" x14ac:dyDescent="0.25">
      <c r="A77" s="4"/>
      <c r="J77" s="20"/>
    </row>
    <row r="78" spans="1:10" x14ac:dyDescent="0.25">
      <c r="A78" s="61" t="s">
        <v>328</v>
      </c>
      <c r="B78" s="1573" t="s">
        <v>217</v>
      </c>
      <c r="C78" s="1573"/>
      <c r="D78" s="1573"/>
      <c r="E78" s="178" t="s">
        <v>4</v>
      </c>
      <c r="F78" s="1573" t="str">
        <f>+J83&amp;" . "&amp;J85&amp;" . "&amp;ROUND(J87,4)&amp;" . "&amp;J89</f>
        <v>0,5793 . 20 . 5445,3036 . 1,6</v>
      </c>
      <c r="G78" s="1573"/>
      <c r="H78" s="1573"/>
      <c r="I78" s="178" t="s">
        <v>4</v>
      </c>
      <c r="J78" s="127">
        <f>+(J83*J85*J87*J89)/J91</f>
        <v>10.420278507262118</v>
      </c>
    </row>
    <row r="79" spans="1:10" x14ac:dyDescent="0.25">
      <c r="A79" s="61"/>
      <c r="B79" s="1574" t="s">
        <v>218</v>
      </c>
      <c r="C79" s="1574"/>
      <c r="D79" s="1574"/>
      <c r="E79" s="178"/>
      <c r="F79" s="1577">
        <f>+J91</f>
        <v>9687.155750650114</v>
      </c>
      <c r="G79" s="1577"/>
      <c r="H79" s="1577"/>
      <c r="I79" s="179"/>
      <c r="J79" s="20"/>
    </row>
    <row r="80" spans="1:10" x14ac:dyDescent="0.25">
      <c r="A80" s="4"/>
      <c r="J80" s="20"/>
    </row>
    <row r="81" spans="1:14" x14ac:dyDescent="0.25">
      <c r="A81" s="4" t="s">
        <v>202</v>
      </c>
      <c r="J81" s="20"/>
    </row>
    <row r="82" spans="1:14" x14ac:dyDescent="0.25">
      <c r="A82" s="4"/>
      <c r="J82" s="20"/>
    </row>
    <row r="83" spans="1:14" x14ac:dyDescent="0.25">
      <c r="A83" s="4" t="s">
        <v>203</v>
      </c>
      <c r="B83" s="8" t="s">
        <v>206</v>
      </c>
      <c r="J83" s="20">
        <f>+'Hoja Llave'!M42</f>
        <v>0.57930000000000004</v>
      </c>
    </row>
    <row r="84" spans="1:14" x14ac:dyDescent="0.25">
      <c r="A84" s="4"/>
      <c r="J84" s="20"/>
    </row>
    <row r="85" spans="1:14" x14ac:dyDescent="0.25">
      <c r="A85" s="4" t="s">
        <v>331</v>
      </c>
      <c r="B85" s="8" t="s">
        <v>378</v>
      </c>
      <c r="J85" s="126">
        <f>+'Hoja Llave'!M47</f>
        <v>20</v>
      </c>
    </row>
    <row r="86" spans="1:14" x14ac:dyDescent="0.25">
      <c r="A86" s="4"/>
      <c r="J86" s="20"/>
    </row>
    <row r="87" spans="1:14" x14ac:dyDescent="0.25">
      <c r="A87" s="4" t="s">
        <v>204</v>
      </c>
      <c r="B87" s="36" t="s">
        <v>364</v>
      </c>
      <c r="C87" s="36"/>
      <c r="D87" s="36" t="str">
        <f>+"("&amp;'Hoja Llave'!J48&amp;"x1,1)"</f>
        <v>(950453x1,1)</v>
      </c>
      <c r="F87" s="55"/>
      <c r="J87" s="20">
        <f>+'Hoja Llave'!M40</f>
        <v>5445.3036458333336</v>
      </c>
    </row>
    <row r="88" spans="1:14" x14ac:dyDescent="0.25">
      <c r="A88" s="4"/>
      <c r="B88" s="1418" t="s">
        <v>207</v>
      </c>
      <c r="C88" s="1418"/>
      <c r="D88" s="1418"/>
      <c r="E88" s="55"/>
      <c r="F88" s="55"/>
      <c r="J88" s="20"/>
    </row>
    <row r="89" spans="1:14" x14ac:dyDescent="0.25">
      <c r="A89" s="4" t="s">
        <v>219</v>
      </c>
      <c r="B89" s="8" t="s">
        <v>13</v>
      </c>
      <c r="J89" s="126">
        <f>+'Hoja Llave'!M38</f>
        <v>1.6</v>
      </c>
    </row>
    <row r="90" spans="1:14" x14ac:dyDescent="0.25">
      <c r="A90" s="4"/>
      <c r="J90" s="20"/>
    </row>
    <row r="91" spans="1:14" x14ac:dyDescent="0.25">
      <c r="A91" s="4" t="s">
        <v>218</v>
      </c>
      <c r="B91" s="8" t="s">
        <v>209</v>
      </c>
      <c r="J91" s="126">
        <f>+J41</f>
        <v>9687.155750650114</v>
      </c>
    </row>
    <row r="92" spans="1:14" x14ac:dyDescent="0.25">
      <c r="A92" s="4"/>
      <c r="J92" s="20"/>
    </row>
    <row r="93" spans="1:14" s="2" customFormat="1" x14ac:dyDescent="0.25">
      <c r="A93" s="4" t="s">
        <v>220</v>
      </c>
      <c r="B93" s="1393" t="s">
        <v>221</v>
      </c>
      <c r="C93" s="1393"/>
      <c r="D93" s="1393"/>
      <c r="E93" s="2" t="s">
        <v>4</v>
      </c>
      <c r="F93" s="1398" t="str">
        <f>+ROUND(J60,4)&amp;" + "&amp;ROUND(J78,4)</f>
        <v>5,667 + 10,4203</v>
      </c>
      <c r="G93" s="1393"/>
      <c r="H93" s="1393"/>
      <c r="I93" s="2" t="s">
        <v>4</v>
      </c>
      <c r="J93" s="13"/>
      <c r="M93" s="13">
        <f>+J78+J60</f>
        <v>16.087256693361873</v>
      </c>
    </row>
    <row r="94" spans="1:14" x14ac:dyDescent="0.25">
      <c r="A94" s="4"/>
    </row>
    <row r="96" spans="1:14" s="2" customFormat="1" ht="17.399999999999999" x14ac:dyDescent="0.3">
      <c r="A96" s="147" t="s">
        <v>14</v>
      </c>
      <c r="B96" s="148" t="s">
        <v>15</v>
      </c>
      <c r="C96" s="148"/>
      <c r="D96" s="148"/>
      <c r="E96" s="148"/>
      <c r="F96" s="149" t="s">
        <v>22</v>
      </c>
      <c r="G96" s="148"/>
      <c r="H96" s="148"/>
      <c r="I96" s="148"/>
      <c r="J96" s="150"/>
      <c r="K96" s="148"/>
      <c r="L96" s="148"/>
      <c r="M96" s="152">
        <f>+M98+M100</f>
        <v>217.23468249205237</v>
      </c>
      <c r="N96" s="174" t="s">
        <v>462</v>
      </c>
    </row>
    <row r="98" spans="1:14" s="2" customFormat="1" x14ac:dyDescent="0.25">
      <c r="A98" s="4" t="s">
        <v>16</v>
      </c>
      <c r="B98" s="1393" t="s">
        <v>17</v>
      </c>
      <c r="C98" s="1393"/>
      <c r="D98" s="4" t="s">
        <v>4</v>
      </c>
      <c r="E98" s="1393" t="str">
        <f>+ROUND(A105,4)&amp;" . "&amp;"("&amp;ROUND(M45,4)&amp;" + "&amp;ROUND(M93,4)&amp;")"</f>
        <v>0,43 . (489,1097 + 16,0873)</v>
      </c>
      <c r="F98" s="1393"/>
      <c r="G98" s="1393"/>
      <c r="H98" s="1393"/>
      <c r="I98" s="14" t="s">
        <v>4</v>
      </c>
      <c r="J98" s="13"/>
      <c r="M98" s="13">
        <f>+A105*(M93+M45)</f>
        <v>217.23468249205237</v>
      </c>
    </row>
    <row r="99" spans="1:14" s="2" customFormat="1" x14ac:dyDescent="0.25">
      <c r="A99" s="4"/>
      <c r="B99" s="4"/>
      <c r="C99" s="4"/>
      <c r="D99" s="4"/>
      <c r="E99" s="4"/>
      <c r="F99" s="4"/>
      <c r="G99" s="4"/>
      <c r="H99" s="4"/>
      <c r="I99" s="14"/>
      <c r="J99" s="13"/>
      <c r="M99" s="13"/>
    </row>
    <row r="100" spans="1:14" s="2" customFormat="1" x14ac:dyDescent="0.25">
      <c r="A100" s="4" t="s">
        <v>393</v>
      </c>
      <c r="B100" s="1403" t="s">
        <v>394</v>
      </c>
      <c r="C100" s="1403"/>
      <c r="D100" s="4" t="s">
        <v>4</v>
      </c>
      <c r="E100" s="4"/>
      <c r="F100" s="4"/>
      <c r="G100" s="4"/>
      <c r="H100" s="4"/>
      <c r="I100" s="14"/>
      <c r="J100" s="13"/>
      <c r="M100" s="13">
        <f>0.43*(J49+J52)-0.43*(J49+J52)</f>
        <v>0</v>
      </c>
    </row>
    <row r="103" spans="1:14" x14ac:dyDescent="0.25">
      <c r="A103" s="8" t="s">
        <v>5</v>
      </c>
    </row>
    <row r="105" spans="1:14" ht="12.75" customHeight="1" x14ac:dyDescent="0.25">
      <c r="A105" s="1403">
        <v>0.43</v>
      </c>
      <c r="B105" s="1408" t="s">
        <v>18</v>
      </c>
      <c r="C105" s="1408"/>
      <c r="D105" s="1408"/>
      <c r="E105" s="1408"/>
      <c r="F105" s="1408"/>
      <c r="G105" s="1408"/>
      <c r="H105" s="1408"/>
      <c r="I105" s="1408"/>
      <c r="J105" s="1408"/>
      <c r="K105" s="1408"/>
      <c r="L105" s="1408"/>
      <c r="M105" s="1408"/>
    </row>
    <row r="106" spans="1:14" x14ac:dyDescent="0.25">
      <c r="A106" s="1403"/>
      <c r="B106" s="1408"/>
      <c r="C106" s="1408"/>
      <c r="D106" s="1408"/>
      <c r="E106" s="1408"/>
      <c r="F106" s="1408"/>
      <c r="G106" s="1408"/>
      <c r="H106" s="1408"/>
      <c r="I106" s="1408"/>
      <c r="J106" s="1408"/>
      <c r="K106" s="1408"/>
      <c r="L106" s="1408"/>
      <c r="M106" s="1408"/>
    </row>
    <row r="109" spans="1:14" s="2" customFormat="1" ht="17.399999999999999" x14ac:dyDescent="0.3">
      <c r="A109" s="147" t="s">
        <v>19</v>
      </c>
      <c r="B109" s="148" t="s">
        <v>20</v>
      </c>
      <c r="C109" s="148"/>
      <c r="D109" s="148"/>
      <c r="E109" s="148"/>
      <c r="F109" s="149" t="s">
        <v>21</v>
      </c>
      <c r="G109" s="148"/>
      <c r="H109" s="148"/>
      <c r="I109" s="148"/>
      <c r="J109" s="150"/>
      <c r="K109" s="148"/>
      <c r="L109" s="148"/>
      <c r="M109" s="152">
        <f>+M112</f>
        <v>255.4698810991637</v>
      </c>
      <c r="N109" s="174" t="s">
        <v>462</v>
      </c>
    </row>
    <row r="112" spans="1:14" s="2" customFormat="1" x14ac:dyDescent="0.25">
      <c r="A112" s="2" t="s">
        <v>25</v>
      </c>
      <c r="B112" s="2" t="s">
        <v>26</v>
      </c>
      <c r="D112" s="2" t="s">
        <v>4</v>
      </c>
      <c r="E112" s="1393" t="str">
        <f>+ROUND(I118+I127,4)&amp;" . "&amp;"("&amp;ROUND(M45,4)&amp;" + "&amp;ROUND(M93,4)&amp;"  + "&amp;ROUND(M98,4)&amp;")"</f>
        <v>0,3328 . (489,1097 + 16,0873  + 217,2347)</v>
      </c>
      <c r="F112" s="1393"/>
      <c r="G112" s="1393"/>
      <c r="H112" s="1393"/>
      <c r="I112" s="61" t="s">
        <v>4</v>
      </c>
      <c r="J112" s="127"/>
      <c r="K112" s="42"/>
      <c r="L112" s="42"/>
      <c r="M112" s="127">
        <f>+(I123+I127+I118)*(M3+M58+M96)</f>
        <v>255.4698810991637</v>
      </c>
    </row>
    <row r="113" spans="1:13" x14ac:dyDescent="0.25">
      <c r="I113" s="19"/>
      <c r="J113" s="20"/>
      <c r="K113" s="19"/>
      <c r="L113" s="19"/>
      <c r="M113" s="20"/>
    </row>
    <row r="114" spans="1:13" x14ac:dyDescent="0.25">
      <c r="I114" s="19"/>
      <c r="J114" s="20"/>
      <c r="K114" s="19"/>
      <c r="L114" s="19"/>
      <c r="M114" s="20"/>
    </row>
    <row r="115" spans="1:13" x14ac:dyDescent="0.25">
      <c r="A115" s="8" t="s">
        <v>5</v>
      </c>
      <c r="I115" s="19"/>
      <c r="J115" s="20"/>
      <c r="K115" s="19"/>
      <c r="L115" s="19"/>
      <c r="M115" s="20"/>
    </row>
    <row r="116" spans="1:13" x14ac:dyDescent="0.25">
      <c r="I116" s="153"/>
      <c r="J116" s="20"/>
      <c r="K116" s="19"/>
      <c r="L116" s="19"/>
      <c r="M116" s="20"/>
    </row>
    <row r="117" spans="1:13" x14ac:dyDescent="0.25">
      <c r="A117" s="4" t="s">
        <v>27</v>
      </c>
      <c r="B117" t="s">
        <v>28</v>
      </c>
      <c r="I117" s="19"/>
      <c r="J117" s="20"/>
      <c r="K117" s="19"/>
      <c r="L117" s="19"/>
      <c r="M117" s="20"/>
    </row>
    <row r="118" spans="1:13" x14ac:dyDescent="0.25">
      <c r="B118" s="2" t="s">
        <v>29</v>
      </c>
      <c r="I118" s="154">
        <f>1/12</f>
        <v>8.3333333333333329E-2</v>
      </c>
      <c r="J118" s="20"/>
      <c r="K118" s="19"/>
      <c r="L118" s="19"/>
      <c r="M118" s="20"/>
    </row>
    <row r="119" spans="1:13" x14ac:dyDescent="0.25">
      <c r="B119" t="s">
        <v>30</v>
      </c>
      <c r="E119" s="3">
        <v>0.02</v>
      </c>
      <c r="G119" s="16">
        <f>+$I$118*E119</f>
        <v>1.6666666666666666E-3</v>
      </c>
      <c r="I119" s="19"/>
      <c r="J119" s="20"/>
      <c r="K119" s="19"/>
      <c r="L119" s="19"/>
      <c r="M119" s="20"/>
    </row>
    <row r="120" spans="1:13" x14ac:dyDescent="0.25">
      <c r="B120" s="8" t="s">
        <v>377</v>
      </c>
      <c r="E120" s="3">
        <v>5.33E-2</v>
      </c>
      <c r="G120" s="16">
        <f>+$I$118*E120</f>
        <v>4.4416666666666667E-3</v>
      </c>
      <c r="I120" s="19"/>
      <c r="J120" s="20"/>
      <c r="K120" s="19"/>
      <c r="L120" s="19"/>
      <c r="M120" s="20"/>
    </row>
    <row r="121" spans="1:13" x14ac:dyDescent="0.25">
      <c r="B121" t="s">
        <v>32</v>
      </c>
      <c r="E121" s="3">
        <v>0.06</v>
      </c>
      <c r="G121" s="16">
        <f>+$I$118*E121</f>
        <v>4.9999999999999992E-3</v>
      </c>
      <c r="I121" s="19"/>
      <c r="J121" s="20"/>
      <c r="K121" s="19"/>
      <c r="L121" s="19"/>
      <c r="M121" s="20"/>
    </row>
    <row r="122" spans="1:13" x14ac:dyDescent="0.25">
      <c r="B122" t="s">
        <v>33</v>
      </c>
      <c r="E122" s="3">
        <v>0.1162</v>
      </c>
      <c r="G122" s="16">
        <f>+$I$118*E122</f>
        <v>9.683333333333332E-3</v>
      </c>
      <c r="I122" s="19"/>
      <c r="J122" s="20"/>
      <c r="K122" s="19"/>
      <c r="L122" s="19"/>
      <c r="M122" s="20"/>
    </row>
    <row r="123" spans="1:13" x14ac:dyDescent="0.25">
      <c r="B123" s="2" t="s">
        <v>34</v>
      </c>
      <c r="I123" s="154">
        <f>SUM(G119:G122)</f>
        <v>2.0791666666666667E-2</v>
      </c>
      <c r="J123" s="20"/>
      <c r="K123" s="19"/>
      <c r="L123" s="19"/>
      <c r="M123" s="20"/>
    </row>
    <row r="124" spans="1:13" x14ac:dyDescent="0.25">
      <c r="B124" t="s">
        <v>30</v>
      </c>
      <c r="G124" s="15">
        <v>0.02</v>
      </c>
      <c r="I124" s="19"/>
      <c r="J124" s="20"/>
      <c r="K124" s="19"/>
      <c r="L124" s="19"/>
      <c r="M124" s="20"/>
    </row>
    <row r="125" spans="1:13" x14ac:dyDescent="0.25">
      <c r="B125" t="s">
        <v>31</v>
      </c>
      <c r="G125" s="15">
        <v>5.33E-2</v>
      </c>
      <c r="I125" s="19"/>
      <c r="J125" s="20"/>
      <c r="K125" s="19"/>
      <c r="L125" s="19"/>
      <c r="M125" s="20"/>
    </row>
    <row r="126" spans="1:13" x14ac:dyDescent="0.25">
      <c r="B126" t="s">
        <v>32</v>
      </c>
      <c r="G126" s="15">
        <v>0.06</v>
      </c>
      <c r="I126" s="19"/>
      <c r="J126" s="20"/>
      <c r="K126" s="19"/>
      <c r="L126" s="19"/>
      <c r="M126" s="20"/>
    </row>
    <row r="127" spans="1:13" x14ac:dyDescent="0.25">
      <c r="B127" t="s">
        <v>33</v>
      </c>
      <c r="G127" s="15">
        <v>0.1162</v>
      </c>
      <c r="I127" s="154">
        <f>SUM(G124:G127)</f>
        <v>0.2495</v>
      </c>
      <c r="J127" s="20"/>
      <c r="K127" s="19"/>
      <c r="L127" s="19"/>
      <c r="M127" s="20"/>
    </row>
    <row r="130" spans="1:14" s="2" customFormat="1" ht="17.399999999999999" x14ac:dyDescent="0.3">
      <c r="A130" s="147" t="s">
        <v>35</v>
      </c>
      <c r="B130" s="148" t="s">
        <v>36</v>
      </c>
      <c r="C130" s="148"/>
      <c r="D130" s="148"/>
      <c r="E130" s="148"/>
      <c r="F130" s="149" t="s">
        <v>52</v>
      </c>
      <c r="G130" s="148"/>
      <c r="H130" s="148"/>
      <c r="I130" s="148"/>
      <c r="J130" s="150"/>
      <c r="K130" s="148"/>
      <c r="L130" s="148"/>
      <c r="M130" s="152">
        <f>+M155</f>
        <v>20.985741897579459</v>
      </c>
      <c r="N130" s="174" t="s">
        <v>462</v>
      </c>
    </row>
    <row r="132" spans="1:14" ht="12.75" customHeight="1" x14ac:dyDescent="0.25">
      <c r="A132" s="1408" t="s">
        <v>37</v>
      </c>
      <c r="B132" s="1408"/>
      <c r="C132" s="1408"/>
      <c r="D132" s="1408"/>
      <c r="E132" s="1408"/>
      <c r="F132" s="1408"/>
      <c r="G132" s="1408"/>
      <c r="H132" s="1408"/>
      <c r="I132" s="1408"/>
      <c r="J132" s="1408"/>
      <c r="K132" s="1408"/>
      <c r="L132" s="1408"/>
      <c r="M132" s="1408"/>
    </row>
    <row r="133" spans="1:14" x14ac:dyDescent="0.25">
      <c r="A133" s="1408"/>
      <c r="B133" s="1408"/>
      <c r="C133" s="1408"/>
      <c r="D133" s="1408"/>
      <c r="E133" s="1408"/>
      <c r="F133" s="1408"/>
      <c r="G133" s="1408"/>
      <c r="H133" s="1408"/>
      <c r="I133" s="1408"/>
      <c r="J133" s="1408"/>
      <c r="K133" s="1408"/>
      <c r="L133" s="1408"/>
      <c r="M133" s="1408"/>
    </row>
    <row r="135" spans="1:14" x14ac:dyDescent="0.25">
      <c r="A135" s="2" t="s">
        <v>38</v>
      </c>
    </row>
    <row r="137" spans="1:14" s="2" customFormat="1" x14ac:dyDescent="0.25">
      <c r="A137" s="1570" t="s">
        <v>39</v>
      </c>
      <c r="B137" s="1573" t="s">
        <v>40</v>
      </c>
      <c r="C137" s="1573"/>
      <c r="D137" s="1570" t="s">
        <v>4</v>
      </c>
      <c r="E137" s="1573" t="str">
        <f>0.75&amp;" . "&amp;ROUND(J143,2)</f>
        <v>0,75 . 451812,74</v>
      </c>
      <c r="F137" s="1573"/>
      <c r="G137" s="1573"/>
      <c r="H137" s="1573"/>
      <c r="I137" s="1570" t="s">
        <v>4</v>
      </c>
      <c r="J137" s="1465">
        <f>(0.75*J143)/(12*(J145*J147+(J149*J151)))</f>
        <v>2.9710355220089787E-2</v>
      </c>
    </row>
    <row r="138" spans="1:14" s="2" customFormat="1" x14ac:dyDescent="0.25">
      <c r="A138" s="1570"/>
      <c r="B138" s="1571" t="s">
        <v>223</v>
      </c>
      <c r="C138" s="1571"/>
      <c r="D138" s="1570"/>
      <c r="E138" s="1574" t="str">
        <f>12&amp;" . "&amp;"("&amp;ROUND(J145,4)&amp;" . "&amp;ROUND(J147,4)&amp;" + "&amp;ROUND(J149,4)&amp;" . "&amp;ROUND(J151,4)&amp;")"</f>
        <v>12 . (0,4207 . 950453 + 0,5793 . 950453)</v>
      </c>
      <c r="F138" s="1574"/>
      <c r="G138" s="1574"/>
      <c r="H138" s="1574"/>
      <c r="I138" s="1570"/>
      <c r="J138" s="1465"/>
      <c r="M138" s="13"/>
    </row>
    <row r="139" spans="1:14" x14ac:dyDescent="0.25">
      <c r="A139" s="42"/>
      <c r="B139" s="19"/>
      <c r="C139" s="19"/>
      <c r="D139" s="19"/>
      <c r="E139" s="19"/>
      <c r="F139" s="46"/>
      <c r="G139" s="19"/>
      <c r="H139" s="19"/>
      <c r="I139" s="19"/>
      <c r="J139" s="20"/>
    </row>
    <row r="140" spans="1:14" x14ac:dyDescent="0.25">
      <c r="A140" s="42"/>
      <c r="B140" s="19"/>
      <c r="C140" s="19"/>
      <c r="D140" s="19"/>
      <c r="E140" s="19"/>
      <c r="F140" s="46"/>
      <c r="G140" s="19"/>
      <c r="H140" s="19"/>
      <c r="I140" s="19"/>
      <c r="J140" s="20"/>
    </row>
    <row r="141" spans="1:14" x14ac:dyDescent="0.25">
      <c r="A141" s="47" t="s">
        <v>5</v>
      </c>
      <c r="B141" s="19"/>
      <c r="C141" s="19"/>
      <c r="D141" s="19"/>
      <c r="E141" s="19"/>
      <c r="F141" s="46"/>
      <c r="G141" s="19"/>
      <c r="H141" s="19"/>
      <c r="I141" s="19"/>
      <c r="J141" s="20"/>
    </row>
    <row r="142" spans="1:14" x14ac:dyDescent="0.25">
      <c r="A142" s="42"/>
      <c r="B142" s="19"/>
      <c r="C142" s="19"/>
      <c r="D142" s="19"/>
      <c r="E142" s="19"/>
      <c r="F142" s="46"/>
      <c r="G142" s="19"/>
      <c r="H142" s="19"/>
      <c r="I142" s="19"/>
      <c r="J142" s="20"/>
    </row>
    <row r="143" spans="1:14" x14ac:dyDescent="0.25">
      <c r="A143" s="61" t="s">
        <v>41</v>
      </c>
      <c r="B143" s="47" t="s">
        <v>225</v>
      </c>
      <c r="C143" s="19"/>
      <c r="D143" s="19"/>
      <c r="E143" s="19"/>
      <c r="F143" s="46"/>
      <c r="G143" s="19"/>
      <c r="H143" s="19"/>
      <c r="I143" s="19"/>
      <c r="J143" s="126">
        <f>+'Hoja Llave'!M5</f>
        <v>451812.74</v>
      </c>
    </row>
    <row r="144" spans="1:14" x14ac:dyDescent="0.25">
      <c r="A144" s="61"/>
      <c r="B144" s="19"/>
      <c r="C144" s="19"/>
      <c r="D144" s="19"/>
      <c r="E144" s="19"/>
      <c r="F144" s="46"/>
      <c r="G144" s="19"/>
      <c r="H144" s="19"/>
      <c r="I144" s="19"/>
      <c r="J144" s="20"/>
    </row>
    <row r="145" spans="1:14" x14ac:dyDescent="0.25">
      <c r="A145" s="61" t="s">
        <v>193</v>
      </c>
      <c r="B145" s="47" t="s">
        <v>194</v>
      </c>
      <c r="C145" s="19"/>
      <c r="D145" s="19"/>
      <c r="E145" s="19"/>
      <c r="F145" s="46"/>
      <c r="G145" s="19"/>
      <c r="H145" s="19"/>
      <c r="I145" s="19"/>
      <c r="J145" s="20">
        <f>+'Hoja Llave'!M41</f>
        <v>0.42070000000000002</v>
      </c>
    </row>
    <row r="146" spans="1:14" x14ac:dyDescent="0.25">
      <c r="A146" s="61"/>
      <c r="B146" s="19"/>
      <c r="C146" s="19"/>
      <c r="D146" s="19"/>
      <c r="E146" s="19"/>
      <c r="F146" s="46"/>
      <c r="G146" s="19"/>
      <c r="H146" s="19"/>
      <c r="I146" s="19"/>
      <c r="J146" s="20"/>
    </row>
    <row r="147" spans="1:14" x14ac:dyDescent="0.25">
      <c r="A147" s="61" t="s">
        <v>42</v>
      </c>
      <c r="B147" s="47" t="s">
        <v>226</v>
      </c>
      <c r="C147" s="19"/>
      <c r="D147" s="19"/>
      <c r="E147" s="19"/>
      <c r="F147" s="46"/>
      <c r="G147" s="19"/>
      <c r="H147" s="19"/>
      <c r="I147" s="19"/>
      <c r="J147" s="126">
        <f>+'Hoja Llave'!M32</f>
        <v>950453</v>
      </c>
    </row>
    <row r="148" spans="1:14" x14ac:dyDescent="0.25">
      <c r="A148" s="61"/>
      <c r="B148" s="19"/>
      <c r="C148" s="19"/>
      <c r="D148" s="19"/>
      <c r="E148" s="19"/>
      <c r="F148" s="46"/>
      <c r="G148" s="19"/>
      <c r="H148" s="19"/>
      <c r="I148" s="19"/>
      <c r="J148" s="20"/>
    </row>
    <row r="149" spans="1:14" x14ac:dyDescent="0.25">
      <c r="A149" s="61" t="s">
        <v>203</v>
      </c>
      <c r="B149" s="47" t="s">
        <v>206</v>
      </c>
      <c r="C149" s="19"/>
      <c r="D149" s="19"/>
      <c r="E149" s="19"/>
      <c r="F149" s="46"/>
      <c r="G149" s="19"/>
      <c r="H149" s="19"/>
      <c r="I149" s="19"/>
      <c r="J149" s="20">
        <f>+'Hoja Llave'!M42</f>
        <v>0.57930000000000004</v>
      </c>
    </row>
    <row r="150" spans="1:14" x14ac:dyDescent="0.25">
      <c r="A150" s="61"/>
      <c r="B150" s="19"/>
      <c r="C150" s="19"/>
      <c r="D150" s="19"/>
      <c r="E150" s="19"/>
      <c r="F150" s="46"/>
      <c r="G150" s="19"/>
      <c r="H150" s="19"/>
      <c r="I150" s="19"/>
      <c r="J150" s="20"/>
    </row>
    <row r="151" spans="1:14" x14ac:dyDescent="0.25">
      <c r="A151" s="61" t="s">
        <v>224</v>
      </c>
      <c r="B151" s="47" t="s">
        <v>227</v>
      </c>
      <c r="C151" s="19"/>
      <c r="D151" s="19"/>
      <c r="E151" s="19"/>
      <c r="F151" s="46"/>
      <c r="G151" s="19"/>
      <c r="H151" s="19"/>
      <c r="I151" s="19"/>
      <c r="J151" s="126">
        <f>+'Hoja Llave'!M48</f>
        <v>950453</v>
      </c>
    </row>
    <row r="152" spans="1:14" x14ac:dyDescent="0.25">
      <c r="A152" s="4"/>
    </row>
    <row r="153" spans="1:14" x14ac:dyDescent="0.25">
      <c r="A153" s="2" t="s">
        <v>43</v>
      </c>
    </row>
    <row r="155" spans="1:14" s="2" customFormat="1" x14ac:dyDescent="0.25">
      <c r="A155" s="4" t="s">
        <v>44</v>
      </c>
      <c r="B155" s="1393" t="s">
        <v>45</v>
      </c>
      <c r="C155" s="1393"/>
      <c r="D155" s="4" t="s">
        <v>4</v>
      </c>
      <c r="E155" s="1393" t="str">
        <f>+ROUND(J137,4)&amp;" . "&amp;"("&amp;ROUND(M45,4)&amp;" + "&amp;ROUND(M93,4)&amp;")"</f>
        <v>0,0297 . (489,1097 + 16,0873)</v>
      </c>
      <c r="F155" s="1393"/>
      <c r="G155" s="1393"/>
      <c r="H155" s="1393"/>
      <c r="I155" s="4" t="s">
        <v>4</v>
      </c>
      <c r="J155" s="13"/>
      <c r="M155" s="127">
        <f>+J137*(M45+M98)</f>
        <v>20.985741897579459</v>
      </c>
    </row>
    <row r="156" spans="1:14" s="2" customFormat="1" x14ac:dyDescent="0.25">
      <c r="A156" s="4"/>
      <c r="B156" s="4"/>
      <c r="C156" s="4"/>
      <c r="D156" s="4"/>
      <c r="E156" s="4"/>
      <c r="F156" s="4"/>
      <c r="G156" s="4"/>
      <c r="H156" s="4"/>
      <c r="I156" s="4"/>
      <c r="J156" s="13"/>
      <c r="M156" s="13"/>
    </row>
    <row r="158" spans="1:14" ht="17.399999999999999" x14ac:dyDescent="0.3">
      <c r="A158" s="147" t="s">
        <v>46</v>
      </c>
      <c r="B158" s="148" t="s">
        <v>228</v>
      </c>
      <c r="C158" s="148"/>
      <c r="D158" s="148"/>
      <c r="E158" s="148"/>
      <c r="F158" s="149" t="s">
        <v>53</v>
      </c>
      <c r="G158" s="148"/>
      <c r="H158" s="148"/>
      <c r="I158" s="148"/>
      <c r="J158" s="150"/>
      <c r="K158" s="148"/>
      <c r="L158" s="148"/>
      <c r="M158" s="152">
        <f>+M162</f>
        <v>90.935448485045185</v>
      </c>
      <c r="N158" s="174" t="s">
        <v>462</v>
      </c>
    </row>
    <row r="160" spans="1:14" x14ac:dyDescent="0.25">
      <c r="B160" s="8" t="s">
        <v>370</v>
      </c>
      <c r="G160" s="9">
        <v>0.18</v>
      </c>
    </row>
    <row r="162" spans="1:14" x14ac:dyDescent="0.25">
      <c r="A162" s="2" t="s">
        <v>229</v>
      </c>
      <c r="B162" s="1393" t="s">
        <v>371</v>
      </c>
      <c r="C162" s="1393"/>
      <c r="D162" s="4" t="s">
        <v>4</v>
      </c>
      <c r="E162" s="1393" t="str">
        <f>+G160&amp;" . "&amp;"("&amp;ROUND(M45,4)&amp;" + "&amp;ROUND(M93,4)&amp;")"</f>
        <v>0,18 . (489,1097 + 16,0873)</v>
      </c>
      <c r="F162" s="1393"/>
      <c r="G162" s="1393"/>
      <c r="H162" s="1393"/>
      <c r="I162" s="4" t="s">
        <v>4</v>
      </c>
      <c r="J162" s="13"/>
      <c r="K162" s="2"/>
      <c r="L162" s="2"/>
      <c r="M162" s="127">
        <f>+G160*(M45+M93)</f>
        <v>90.935448485045185</v>
      </c>
    </row>
    <row r="164" spans="1:14" s="2" customFormat="1" ht="17.399999999999999" x14ac:dyDescent="0.3">
      <c r="A164" s="147" t="s">
        <v>230</v>
      </c>
      <c r="B164" s="148" t="s">
        <v>47</v>
      </c>
      <c r="C164" s="148"/>
      <c r="D164" s="148"/>
      <c r="E164" s="148"/>
      <c r="F164" s="149" t="s">
        <v>231</v>
      </c>
      <c r="G164" s="148"/>
      <c r="H164" s="148"/>
      <c r="I164" s="148"/>
      <c r="J164" s="150"/>
      <c r="K164" s="148"/>
      <c r="L164" s="148"/>
      <c r="M164" s="152">
        <f>+M166</f>
        <v>1.8855656558273213</v>
      </c>
      <c r="N164" s="174" t="s">
        <v>462</v>
      </c>
    </row>
    <row r="166" spans="1:14" s="2" customFormat="1" x14ac:dyDescent="0.25">
      <c r="A166" s="1403" t="s">
        <v>232</v>
      </c>
      <c r="B166" s="1390" t="s">
        <v>48</v>
      </c>
      <c r="C166" s="1390"/>
      <c r="D166" s="1403" t="s">
        <v>4</v>
      </c>
      <c r="E166" s="1416">
        <f>+J169</f>
        <v>188544.8</v>
      </c>
      <c r="F166" s="1416"/>
      <c r="G166" s="1416"/>
      <c r="H166" s="1416"/>
      <c r="I166" s="1403" t="s">
        <v>4</v>
      </c>
      <c r="J166" s="13"/>
      <c r="M166" s="13">
        <f>+J169/((J171*J175)+(J173*J177))</f>
        <v>1.8855656558273213</v>
      </c>
    </row>
    <row r="167" spans="1:14" s="2" customFormat="1" x14ac:dyDescent="0.25">
      <c r="A167" s="1403"/>
      <c r="B167" s="1393" t="s">
        <v>233</v>
      </c>
      <c r="C167" s="1393"/>
      <c r="D167" s="1403"/>
      <c r="E167" s="1396" t="str">
        <f>+"("&amp;ROUND(J171,4)&amp;" . "&amp;ROUND(J175,4)&amp;")"&amp;" + "&amp;"("&amp;ROUND(J173,4)&amp;" . "&amp;ROUND(J177,4)&amp;")"</f>
        <v>(0,4207 . 77614,757) + (0,5793 . 116245,869)</v>
      </c>
      <c r="F167" s="1396"/>
      <c r="G167" s="1396"/>
      <c r="H167" s="1396"/>
      <c r="I167" s="1403"/>
      <c r="J167" s="13"/>
      <c r="M167" s="13"/>
    </row>
    <row r="169" spans="1:14" x14ac:dyDescent="0.25">
      <c r="A169" s="4" t="s">
        <v>48</v>
      </c>
      <c r="B169" t="s">
        <v>49</v>
      </c>
      <c r="J169" s="72">
        <f>+'Hoja Llave'!M6</f>
        <v>188544.8</v>
      </c>
    </row>
    <row r="170" spans="1:14" x14ac:dyDescent="0.25">
      <c r="A170" s="4"/>
    </row>
    <row r="171" spans="1:14" x14ac:dyDescent="0.25">
      <c r="A171" s="4" t="s">
        <v>193</v>
      </c>
      <c r="B171" s="8" t="s">
        <v>194</v>
      </c>
      <c r="J171" s="10">
        <f>+'Hoja Llave'!M41</f>
        <v>0.42070000000000002</v>
      </c>
    </row>
    <row r="172" spans="1:14" x14ac:dyDescent="0.25">
      <c r="A172" s="4"/>
    </row>
    <row r="173" spans="1:14" x14ac:dyDescent="0.25">
      <c r="A173" s="4" t="s">
        <v>203</v>
      </c>
      <c r="B173" s="8" t="s">
        <v>206</v>
      </c>
      <c r="J173" s="10">
        <f>+'Hoja Llave'!M42</f>
        <v>0.57930000000000004</v>
      </c>
    </row>
    <row r="174" spans="1:14" x14ac:dyDescent="0.25">
      <c r="A174" s="4"/>
    </row>
    <row r="175" spans="1:14" x14ac:dyDescent="0.25">
      <c r="A175" s="4" t="s">
        <v>333</v>
      </c>
      <c r="B175" s="8" t="s">
        <v>235</v>
      </c>
      <c r="J175" s="74">
        <f>+'Hoja Llave'!M33</f>
        <v>77614.756994982657</v>
      </c>
    </row>
    <row r="176" spans="1:14" x14ac:dyDescent="0.25">
      <c r="A176" s="4"/>
    </row>
    <row r="177" spans="1:14" x14ac:dyDescent="0.25">
      <c r="A177" s="4" t="s">
        <v>234</v>
      </c>
      <c r="B177" s="8" t="s">
        <v>236</v>
      </c>
      <c r="J177" s="10">
        <f>+'Hoja Llave'!M34</f>
        <v>116245.86900780138</v>
      </c>
    </row>
    <row r="178" spans="1:14" x14ac:dyDescent="0.25">
      <c r="A178" s="4"/>
      <c r="B178" s="8"/>
    </row>
    <row r="179" spans="1:14" x14ac:dyDescent="0.25">
      <c r="A179" s="4"/>
    </row>
    <row r="180" spans="1:14" s="2" customFormat="1" x14ac:dyDescent="0.25">
      <c r="A180" s="5" t="s">
        <v>51</v>
      </c>
      <c r="B180" s="6"/>
      <c r="C180" s="6"/>
      <c r="D180" s="6"/>
      <c r="E180" s="6"/>
      <c r="F180" s="7"/>
      <c r="G180" s="6"/>
      <c r="H180" s="6"/>
      <c r="I180" s="6"/>
      <c r="J180" s="18"/>
      <c r="K180" s="6"/>
      <c r="L180" s="6"/>
      <c r="M180" s="11"/>
    </row>
    <row r="183" spans="1:14" s="2" customFormat="1" x14ac:dyDescent="0.25">
      <c r="A183" s="169" t="s">
        <v>395</v>
      </c>
      <c r="B183" s="169"/>
      <c r="C183" s="169"/>
      <c r="D183" s="169"/>
      <c r="E183" s="1564" t="str">
        <f>+ROUND(M45,4)&amp;" + "&amp;ROUND(M93,4)&amp;" + "&amp;ROUND(M98,4)&amp;" + "&amp;ROUND(M112,4)&amp;" + "&amp;ROUND(M155,4)&amp;" + "&amp;ROUND(M162,4)&amp;" + "&amp;ROUND(M166,4)</f>
        <v>489,1097 + 16,0873 + 217,2347 + 255,4699 + 20,9857 + 90,9354 + 1,8856</v>
      </c>
      <c r="F183" s="1564"/>
      <c r="G183" s="1564"/>
      <c r="H183" s="1564"/>
      <c r="I183" s="1564"/>
      <c r="J183" s="170" t="s">
        <v>4</v>
      </c>
      <c r="K183" s="169"/>
      <c r="L183" s="169"/>
      <c r="M183" s="172">
        <f>+M3+M58+M96+M109+M130+M164+M158+M100</f>
        <v>1091.708255657697</v>
      </c>
      <c r="N183" s="182" t="s">
        <v>462</v>
      </c>
    </row>
    <row r="186" spans="1:14" s="2" customFormat="1" x14ac:dyDescent="0.25">
      <c r="A186" s="5" t="s">
        <v>54</v>
      </c>
      <c r="B186" s="6" t="s">
        <v>55</v>
      </c>
      <c r="C186" s="6"/>
      <c r="D186" s="6"/>
      <c r="E186" s="6"/>
      <c r="F186" s="7" t="s">
        <v>56</v>
      </c>
      <c r="G186" s="6"/>
      <c r="H186" s="6"/>
      <c r="I186" s="6"/>
      <c r="J186" s="18"/>
      <c r="K186" s="6"/>
      <c r="L186" s="6"/>
      <c r="M186" s="11"/>
    </row>
    <row r="187" spans="1:14" s="42" customFormat="1" x14ac:dyDescent="0.25">
      <c r="A187" s="39"/>
      <c r="B187" s="39"/>
      <c r="C187" s="39"/>
      <c r="D187" s="39"/>
      <c r="E187" s="39"/>
      <c r="F187" s="40"/>
      <c r="G187" s="39"/>
      <c r="H187" s="39"/>
      <c r="I187" s="39"/>
      <c r="J187" s="41"/>
      <c r="K187" s="39"/>
      <c r="L187" s="39"/>
      <c r="M187" s="41"/>
    </row>
    <row r="188" spans="1:14" s="42" customFormat="1" x14ac:dyDescent="0.25">
      <c r="A188" s="39"/>
      <c r="B188" s="43" t="s">
        <v>239</v>
      </c>
      <c r="C188" s="39"/>
      <c r="D188" s="39"/>
      <c r="E188" s="39"/>
      <c r="F188" s="40"/>
      <c r="G188" s="39"/>
      <c r="H188" s="39"/>
      <c r="I188" s="39"/>
      <c r="J188" s="41"/>
      <c r="K188" s="39"/>
      <c r="L188" s="39"/>
      <c r="M188" s="41"/>
    </row>
    <row r="189" spans="1:14" s="42" customFormat="1" x14ac:dyDescent="0.25">
      <c r="A189" s="39"/>
      <c r="B189" s="39"/>
      <c r="C189" s="39"/>
      <c r="D189" s="39"/>
      <c r="E189" s="39"/>
      <c r="F189" s="40"/>
      <c r="G189" s="39"/>
      <c r="H189" s="39"/>
      <c r="I189" s="39"/>
      <c r="J189" s="41"/>
      <c r="K189" s="39"/>
      <c r="L189" s="39"/>
      <c r="M189" s="41"/>
    </row>
    <row r="190" spans="1:14" s="42" customFormat="1" x14ac:dyDescent="0.25">
      <c r="A190" s="40" t="s">
        <v>240</v>
      </c>
      <c r="B190" s="43" t="s">
        <v>244</v>
      </c>
      <c r="C190" s="39"/>
      <c r="D190" s="39"/>
      <c r="E190" s="39"/>
      <c r="F190" s="40"/>
      <c r="G190" s="39"/>
      <c r="H190" s="39"/>
      <c r="I190" s="39"/>
      <c r="J190" s="41"/>
      <c r="K190" s="39"/>
      <c r="L190" s="39"/>
      <c r="M190" s="41"/>
    </row>
    <row r="191" spans="1:14" s="42" customFormat="1" x14ac:dyDescent="0.25">
      <c r="A191" s="40"/>
      <c r="B191" s="43"/>
      <c r="C191" s="39"/>
      <c r="D191" s="39"/>
      <c r="E191" s="39"/>
      <c r="F191" s="40"/>
      <c r="G191" s="39"/>
      <c r="H191" s="39"/>
      <c r="I191" s="39"/>
      <c r="J191" s="41"/>
      <c r="K191" s="39"/>
      <c r="L191" s="39"/>
      <c r="M191" s="41"/>
    </row>
    <row r="192" spans="1:14" s="42" customFormat="1" x14ac:dyDescent="0.25">
      <c r="A192" s="40" t="s">
        <v>241</v>
      </c>
      <c r="B192" s="43" t="s">
        <v>243</v>
      </c>
      <c r="C192" s="39"/>
      <c r="D192" s="39"/>
      <c r="E192" s="39"/>
      <c r="F192" s="40"/>
      <c r="G192" s="39"/>
      <c r="H192" s="39"/>
      <c r="I192" s="39"/>
      <c r="J192" s="41"/>
      <c r="K192" s="39"/>
      <c r="L192" s="39"/>
      <c r="M192" s="41"/>
    </row>
    <row r="193" spans="1:13" s="42" customFormat="1" x14ac:dyDescent="0.25">
      <c r="A193" s="40"/>
      <c r="B193" s="43"/>
      <c r="C193" s="39"/>
      <c r="D193" s="39"/>
      <c r="E193" s="39"/>
      <c r="F193" s="40"/>
      <c r="G193" s="39"/>
      <c r="H193" s="39"/>
      <c r="I193" s="39"/>
      <c r="J193" s="41"/>
      <c r="K193" s="39"/>
      <c r="L193" s="39"/>
      <c r="M193" s="41"/>
    </row>
    <row r="194" spans="1:13" s="42" customFormat="1" x14ac:dyDescent="0.25">
      <c r="A194" s="40" t="s">
        <v>242</v>
      </c>
      <c r="B194" s="43" t="s">
        <v>245</v>
      </c>
      <c r="C194" s="39"/>
      <c r="D194" s="39"/>
      <c r="E194" s="39"/>
      <c r="F194" s="40"/>
      <c r="G194" s="39"/>
      <c r="H194" s="39"/>
      <c r="I194" s="39"/>
      <c r="J194" s="41"/>
      <c r="K194" s="39"/>
      <c r="L194" s="39"/>
      <c r="M194" s="41"/>
    </row>
    <row r="195" spans="1:13" s="42" customFormat="1" x14ac:dyDescent="0.25">
      <c r="A195" s="39"/>
      <c r="B195" s="39"/>
      <c r="C195" s="39"/>
      <c r="D195" s="39"/>
      <c r="E195" s="39"/>
      <c r="F195" s="40"/>
      <c r="G195" s="39"/>
      <c r="H195" s="39"/>
      <c r="I195" s="39"/>
      <c r="J195" s="41"/>
      <c r="K195" s="39"/>
      <c r="L195" s="39"/>
      <c r="M195" s="41"/>
    </row>
    <row r="196" spans="1:13" s="42" customFormat="1" x14ac:dyDescent="0.25">
      <c r="A196" s="39"/>
      <c r="B196" s="39" t="s">
        <v>246</v>
      </c>
      <c r="C196" s="39"/>
      <c r="D196" s="39"/>
      <c r="E196" s="39"/>
      <c r="F196" s="40"/>
      <c r="G196" s="39"/>
      <c r="H196" s="39"/>
      <c r="I196" s="39"/>
      <c r="J196" s="41"/>
      <c r="K196" s="39"/>
      <c r="L196" s="39"/>
      <c r="M196" s="41"/>
    </row>
    <row r="197" spans="1:13" s="42" customFormat="1" x14ac:dyDescent="0.25">
      <c r="A197" s="39"/>
      <c r="B197" s="39"/>
      <c r="C197" s="39"/>
      <c r="D197" s="39"/>
      <c r="E197" s="39"/>
      <c r="F197" s="40"/>
      <c r="G197" s="39"/>
      <c r="H197" s="39"/>
      <c r="I197" s="39"/>
      <c r="J197" s="41"/>
      <c r="K197" s="39"/>
      <c r="L197" s="39"/>
      <c r="M197" s="41"/>
    </row>
    <row r="198" spans="1:13" s="42" customFormat="1" x14ac:dyDescent="0.25">
      <c r="A198" s="39"/>
      <c r="B198" s="39" t="s">
        <v>247</v>
      </c>
      <c r="C198" s="39"/>
      <c r="D198" s="39"/>
      <c r="E198" s="39"/>
      <c r="F198" s="40"/>
      <c r="G198" s="39"/>
      <c r="H198" s="39"/>
      <c r="I198" s="39"/>
      <c r="J198" s="41"/>
      <c r="K198" s="39"/>
      <c r="L198" s="39"/>
      <c r="M198" s="41"/>
    </row>
    <row r="199" spans="1:13" s="42" customFormat="1" x14ac:dyDescent="0.25">
      <c r="A199" s="40"/>
      <c r="B199" s="43"/>
      <c r="C199" s="39"/>
      <c r="D199" s="39"/>
      <c r="E199" s="39"/>
      <c r="F199" s="40"/>
      <c r="G199" s="39"/>
      <c r="H199" s="39"/>
      <c r="I199" s="39"/>
      <c r="J199" s="41"/>
      <c r="K199" s="39"/>
      <c r="L199" s="39"/>
      <c r="M199" s="41"/>
    </row>
    <row r="200" spans="1:13" s="42" customFormat="1" x14ac:dyDescent="0.25">
      <c r="A200" s="44">
        <v>0.7</v>
      </c>
      <c r="B200" s="43" t="s">
        <v>248</v>
      </c>
      <c r="C200" s="39"/>
      <c r="D200" s="39"/>
      <c r="E200" s="39"/>
      <c r="F200" s="40"/>
      <c r="G200" s="39"/>
      <c r="H200" s="39"/>
      <c r="I200" s="39"/>
      <c r="J200" s="41"/>
      <c r="K200" s="39"/>
      <c r="L200" s="39"/>
      <c r="M200" s="41"/>
    </row>
    <row r="201" spans="1:13" s="42" customFormat="1" x14ac:dyDescent="0.25">
      <c r="A201" s="40"/>
      <c r="B201" s="43"/>
      <c r="C201" s="39"/>
      <c r="D201" s="39"/>
      <c r="E201" s="39"/>
      <c r="F201" s="40"/>
      <c r="G201" s="39"/>
      <c r="H201" s="39"/>
      <c r="I201" s="39"/>
      <c r="J201" s="41"/>
      <c r="K201" s="39"/>
      <c r="L201" s="39"/>
      <c r="M201" s="41"/>
    </row>
    <row r="202" spans="1:13" s="42" customFormat="1" x14ac:dyDescent="0.25">
      <c r="A202" s="44">
        <v>0.3</v>
      </c>
      <c r="B202" s="43" t="s">
        <v>249</v>
      </c>
      <c r="C202" s="39"/>
      <c r="D202" s="39"/>
      <c r="E202" s="39"/>
      <c r="F202" s="40"/>
      <c r="G202" s="39"/>
      <c r="H202" s="39"/>
      <c r="I202" s="39"/>
      <c r="J202" s="41"/>
      <c r="K202" s="39"/>
      <c r="L202" s="39"/>
      <c r="M202" s="41"/>
    </row>
    <row r="203" spans="1:13" s="42" customFormat="1" x14ac:dyDescent="0.25">
      <c r="A203" s="40"/>
      <c r="B203" s="39"/>
      <c r="C203" s="39"/>
      <c r="D203" s="39"/>
      <c r="E203" s="39"/>
      <c r="F203" s="40"/>
      <c r="G203" s="39"/>
      <c r="H203" s="39"/>
      <c r="I203" s="39"/>
      <c r="J203" s="41"/>
      <c r="K203" s="39"/>
      <c r="L203" s="39"/>
      <c r="M203" s="41"/>
    </row>
    <row r="204" spans="1:13" s="42" customFormat="1" x14ac:dyDescent="0.25">
      <c r="A204" s="40"/>
      <c r="B204" s="39" t="s">
        <v>250</v>
      </c>
      <c r="C204" s="39"/>
      <c r="D204" s="39"/>
      <c r="E204" s="39"/>
      <c r="F204" s="40"/>
      <c r="G204" s="39"/>
      <c r="H204" s="39"/>
      <c r="I204" s="39"/>
      <c r="J204" s="41"/>
      <c r="K204" s="39"/>
      <c r="L204" s="39"/>
      <c r="M204" s="41"/>
    </row>
    <row r="205" spans="1:13" s="42" customFormat="1" x14ac:dyDescent="0.25">
      <c r="A205" s="40"/>
      <c r="B205" s="39"/>
      <c r="C205" s="39"/>
      <c r="D205" s="39"/>
      <c r="E205" s="39"/>
      <c r="F205" s="40"/>
      <c r="G205" s="39"/>
      <c r="H205" s="39"/>
      <c r="I205" s="39"/>
      <c r="J205" s="41"/>
      <c r="K205" s="39"/>
      <c r="L205" s="39"/>
      <c r="M205" s="41"/>
    </row>
    <row r="206" spans="1:13" s="42" customFormat="1" x14ac:dyDescent="0.25">
      <c r="A206" s="44">
        <v>0.15</v>
      </c>
      <c r="B206" s="43" t="s">
        <v>248</v>
      </c>
      <c r="C206" s="39"/>
      <c r="D206" s="39"/>
      <c r="E206" s="39"/>
      <c r="F206" s="40"/>
      <c r="G206" s="39"/>
      <c r="H206" s="39"/>
      <c r="I206" s="39"/>
      <c r="J206" s="41"/>
      <c r="K206" s="39"/>
      <c r="L206" s="39"/>
      <c r="M206" s="41"/>
    </row>
    <row r="207" spans="1:13" s="42" customFormat="1" x14ac:dyDescent="0.25">
      <c r="A207" s="40"/>
      <c r="B207" s="43"/>
      <c r="C207" s="39"/>
      <c r="D207" s="39"/>
      <c r="E207" s="39"/>
      <c r="F207" s="40"/>
      <c r="G207" s="39"/>
      <c r="H207" s="39"/>
      <c r="I207" s="39"/>
      <c r="J207" s="41"/>
      <c r="K207" s="39"/>
      <c r="L207" s="39"/>
      <c r="M207" s="41"/>
    </row>
    <row r="208" spans="1:13" s="42" customFormat="1" x14ac:dyDescent="0.25">
      <c r="A208" s="44">
        <v>0.45</v>
      </c>
      <c r="B208" s="43" t="s">
        <v>249</v>
      </c>
      <c r="C208" s="39"/>
      <c r="D208" s="39"/>
      <c r="E208" s="39"/>
      <c r="F208" s="40"/>
      <c r="G208" s="39"/>
      <c r="H208" s="39"/>
      <c r="I208" s="39"/>
      <c r="J208" s="41"/>
      <c r="K208" s="39"/>
      <c r="L208" s="39"/>
      <c r="M208" s="41"/>
    </row>
    <row r="209" spans="1:14" s="42" customFormat="1" x14ac:dyDescent="0.25">
      <c r="A209" s="40"/>
      <c r="B209" s="43"/>
      <c r="C209" s="39"/>
      <c r="D209" s="39"/>
      <c r="E209" s="39"/>
      <c r="F209" s="40"/>
      <c r="G209" s="39"/>
      <c r="H209" s="39"/>
      <c r="I209" s="39"/>
      <c r="J209" s="41"/>
      <c r="K209" s="39"/>
      <c r="L209" s="39"/>
      <c r="M209" s="41"/>
    </row>
    <row r="210" spans="1:14" s="42" customFormat="1" x14ac:dyDescent="0.25">
      <c r="A210" s="44">
        <v>0.4</v>
      </c>
      <c r="B210" s="43" t="s">
        <v>251</v>
      </c>
      <c r="C210" s="39"/>
      <c r="D210" s="39"/>
      <c r="E210" s="39"/>
      <c r="F210" s="40"/>
      <c r="G210" s="39"/>
      <c r="H210" s="39"/>
      <c r="I210" s="39"/>
      <c r="J210" s="41"/>
      <c r="K210" s="39"/>
      <c r="L210" s="39"/>
      <c r="M210" s="41"/>
    </row>
    <row r="211" spans="1:14" s="42" customFormat="1" x14ac:dyDescent="0.25">
      <c r="A211" s="44"/>
      <c r="B211" s="43"/>
      <c r="C211" s="39"/>
      <c r="D211" s="39"/>
      <c r="E211" s="39"/>
      <c r="F211" s="40"/>
      <c r="G211" s="39"/>
      <c r="H211" s="39"/>
      <c r="I211" s="39"/>
      <c r="J211" s="41"/>
      <c r="K211" s="39"/>
      <c r="L211" s="39"/>
      <c r="M211" s="41"/>
    </row>
    <row r="213" spans="1:14" s="2" customFormat="1" ht="17.399999999999999" x14ac:dyDescent="0.3">
      <c r="A213" s="147" t="s">
        <v>57</v>
      </c>
      <c r="B213" s="148" t="s">
        <v>58</v>
      </c>
      <c r="C213" s="148"/>
      <c r="D213" s="148"/>
      <c r="E213" s="148"/>
      <c r="F213" s="149" t="s">
        <v>80</v>
      </c>
      <c r="G213" s="148"/>
      <c r="H213" s="148"/>
      <c r="I213" s="148"/>
      <c r="J213" s="150"/>
      <c r="K213" s="148"/>
      <c r="L213" s="148"/>
      <c r="M213" s="152">
        <f>+M243</f>
        <v>253.00211868131868</v>
      </c>
      <c r="N213" s="174" t="s">
        <v>462</v>
      </c>
    </row>
    <row r="215" spans="1:14" s="2" customFormat="1" x14ac:dyDescent="0.25">
      <c r="A215" s="1403" t="s">
        <v>252</v>
      </c>
      <c r="B215" s="1411" t="s">
        <v>253</v>
      </c>
      <c r="C215" s="1411"/>
      <c r="D215" s="1403" t="s">
        <v>4</v>
      </c>
      <c r="E215" s="1412" t="str">
        <f>+J224&amp;" . "&amp;"("&amp;"0,70"&amp;" / "&amp;J222&amp;" + "&amp;"0,30"&amp;" / "&amp;J226&amp;")"&amp;" . "&amp;ROUND(J220,4)</f>
        <v>0,4207 . (0,70 / 3,5 + 0,30 / 3,5) . 870</v>
      </c>
      <c r="F215" s="1412"/>
      <c r="G215" s="1412"/>
      <c r="H215" s="1412"/>
      <c r="I215" s="1403" t="s">
        <v>4</v>
      </c>
      <c r="J215" s="127">
        <f>+J224*((0.7/J222)+(0.3/J226))*J220</f>
        <v>104.574</v>
      </c>
      <c r="K215" s="42"/>
      <c r="L215" s="42"/>
      <c r="M215" s="42"/>
    </row>
    <row r="216" spans="1:14" s="2" customFormat="1" x14ac:dyDescent="0.25">
      <c r="A216" s="1403"/>
      <c r="B216" s="1414"/>
      <c r="C216" s="1414"/>
      <c r="D216" s="1403"/>
      <c r="E216" s="1415"/>
      <c r="F216" s="1415"/>
      <c r="G216" s="1415"/>
      <c r="H216" s="1415"/>
      <c r="I216" s="1403"/>
      <c r="J216" s="127"/>
      <c r="K216" s="42"/>
      <c r="L216" s="42"/>
      <c r="M216" s="127"/>
    </row>
    <row r="217" spans="1:14" x14ac:dyDescent="0.25">
      <c r="J217" s="20"/>
      <c r="K217" s="19"/>
      <c r="L217" s="19"/>
      <c r="M217" s="20"/>
    </row>
    <row r="218" spans="1:14" x14ac:dyDescent="0.25">
      <c r="A218" s="8" t="s">
        <v>5</v>
      </c>
      <c r="J218" s="20"/>
      <c r="K218" s="19"/>
      <c r="L218" s="19"/>
      <c r="M218" s="20"/>
    </row>
    <row r="219" spans="1:14" x14ac:dyDescent="0.25">
      <c r="J219" s="20"/>
      <c r="K219" s="19"/>
      <c r="L219" s="19"/>
      <c r="M219" s="20"/>
    </row>
    <row r="220" spans="1:14" x14ac:dyDescent="0.25">
      <c r="A220" s="4" t="s">
        <v>254</v>
      </c>
      <c r="B220" s="47" t="s">
        <v>260</v>
      </c>
      <c r="C220" s="19"/>
      <c r="D220" s="19"/>
      <c r="E220" s="19"/>
      <c r="F220" s="46"/>
      <c r="G220" s="19"/>
      <c r="H220" s="19"/>
      <c r="J220" s="126">
        <f>+'Hoja Llave'!M49</f>
        <v>870</v>
      </c>
      <c r="K220" s="19"/>
      <c r="L220" s="19"/>
      <c r="M220" s="20"/>
    </row>
    <row r="221" spans="1:14" x14ac:dyDescent="0.25">
      <c r="A221" s="4"/>
      <c r="J221" s="20"/>
      <c r="K221" s="19"/>
      <c r="L221" s="19"/>
      <c r="M221" s="20"/>
    </row>
    <row r="222" spans="1:14" x14ac:dyDescent="0.25">
      <c r="A222" s="4" t="s">
        <v>177</v>
      </c>
      <c r="B222" s="8" t="s">
        <v>256</v>
      </c>
      <c r="J222" s="126">
        <f>+'Hoja Llave'!M9</f>
        <v>3.5</v>
      </c>
      <c r="K222" s="19"/>
      <c r="L222" s="19"/>
      <c r="M222" s="20"/>
    </row>
    <row r="223" spans="1:14" x14ac:dyDescent="0.25">
      <c r="A223" s="4"/>
      <c r="J223" s="20"/>
      <c r="K223" s="19"/>
      <c r="L223" s="19"/>
      <c r="M223" s="20"/>
    </row>
    <row r="224" spans="1:14" x14ac:dyDescent="0.25">
      <c r="A224" s="4" t="s">
        <v>193</v>
      </c>
      <c r="B224" s="8" t="s">
        <v>194</v>
      </c>
      <c r="J224" s="20">
        <f>+'Hoja Llave'!M41</f>
        <v>0.42070000000000002</v>
      </c>
      <c r="K224" s="19"/>
      <c r="L224" s="19"/>
      <c r="M224" s="20"/>
    </row>
    <row r="225" spans="1:13" x14ac:dyDescent="0.25">
      <c r="A225" s="4"/>
      <c r="J225" s="20"/>
      <c r="K225" s="19"/>
      <c r="L225" s="19"/>
      <c r="M225" s="20"/>
    </row>
    <row r="226" spans="1:13" x14ac:dyDescent="0.25">
      <c r="A226" s="4" t="s">
        <v>255</v>
      </c>
      <c r="B226" s="8" t="s">
        <v>257</v>
      </c>
      <c r="J226" s="126">
        <f>+'Hoja Llave'!M10</f>
        <v>3.5</v>
      </c>
      <c r="K226" s="19"/>
      <c r="L226" s="19"/>
      <c r="M226" s="20"/>
    </row>
    <row r="227" spans="1:13" x14ac:dyDescent="0.25">
      <c r="A227" s="4"/>
      <c r="J227" s="20"/>
      <c r="K227" s="19"/>
      <c r="L227" s="19"/>
      <c r="M227" s="20"/>
    </row>
    <row r="228" spans="1:13" x14ac:dyDescent="0.25">
      <c r="A228" s="4"/>
      <c r="J228" s="20"/>
      <c r="K228" s="19"/>
      <c r="L228" s="19"/>
      <c r="M228" s="20"/>
    </row>
    <row r="229" spans="1:13" x14ac:dyDescent="0.25">
      <c r="A229" s="4" t="s">
        <v>258</v>
      </c>
      <c r="B229" s="2" t="s">
        <v>360</v>
      </c>
      <c r="C229" s="2"/>
      <c r="D229" s="2"/>
      <c r="E229" s="1412" t="str">
        <f>+J237&amp;" . "&amp;"("&amp;"0,15"&amp;" / "&amp;J235&amp;" + "&amp;"0,45"&amp;" / "&amp;J239&amp;" + "&amp;"0,4"&amp;" / "&amp;J241&amp;")"&amp;" . "&amp;J233</f>
        <v>0,5793 . (0,15 / 3,5 + 0,45 / 3,5 + 0,4 / 3,25) . 870</v>
      </c>
      <c r="F229" s="1412"/>
      <c r="G229" s="1412"/>
      <c r="H229" s="1412"/>
      <c r="I229" s="8" t="s">
        <v>4</v>
      </c>
      <c r="J229" s="127">
        <f>+J237*((0.15/J235)+(0.45/J239)+(0.4/J241))*J233</f>
        <v>148.42811868131869</v>
      </c>
      <c r="K229" s="19"/>
      <c r="L229" s="19"/>
      <c r="M229" s="20"/>
    </row>
    <row r="230" spans="1:13" x14ac:dyDescent="0.25">
      <c r="A230" s="4"/>
      <c r="J230" s="20"/>
      <c r="K230" s="19"/>
      <c r="L230" s="19"/>
      <c r="M230" s="20"/>
    </row>
    <row r="231" spans="1:13" x14ac:dyDescent="0.25">
      <c r="A231" s="8" t="s">
        <v>5</v>
      </c>
      <c r="J231" s="20"/>
      <c r="K231" s="19"/>
      <c r="L231" s="19"/>
      <c r="M231" s="20"/>
    </row>
    <row r="232" spans="1:13" x14ac:dyDescent="0.25">
      <c r="J232" s="20"/>
      <c r="K232" s="19"/>
      <c r="L232" s="19"/>
      <c r="M232" s="20"/>
    </row>
    <row r="233" spans="1:13" x14ac:dyDescent="0.25">
      <c r="A233" s="4" t="s">
        <v>259</v>
      </c>
      <c r="B233" s="47" t="s">
        <v>261</v>
      </c>
      <c r="C233" s="19"/>
      <c r="J233" s="20">
        <f>+'Hoja Llave'!M50</f>
        <v>870</v>
      </c>
      <c r="K233" s="19"/>
      <c r="L233" s="19"/>
      <c r="M233" s="20"/>
    </row>
    <row r="234" spans="1:13" x14ac:dyDescent="0.25">
      <c r="A234" s="4"/>
      <c r="J234" s="20"/>
      <c r="K234" s="19"/>
      <c r="L234" s="19"/>
      <c r="M234" s="20"/>
    </row>
    <row r="235" spans="1:13" x14ac:dyDescent="0.25">
      <c r="A235" s="4" t="s">
        <v>177</v>
      </c>
      <c r="B235" s="8" t="s">
        <v>256</v>
      </c>
      <c r="J235" s="20">
        <f>+'Hoja Llave'!M9</f>
        <v>3.5</v>
      </c>
      <c r="K235" s="19"/>
      <c r="L235" s="19"/>
      <c r="M235" s="20"/>
    </row>
    <row r="236" spans="1:13" x14ac:dyDescent="0.25">
      <c r="A236" s="4"/>
      <c r="J236" s="20"/>
      <c r="K236" s="19"/>
      <c r="L236" s="19"/>
      <c r="M236" s="20"/>
    </row>
    <row r="237" spans="1:13" x14ac:dyDescent="0.25">
      <c r="A237" s="4" t="s">
        <v>203</v>
      </c>
      <c r="B237" s="8" t="s">
        <v>206</v>
      </c>
      <c r="J237" s="20">
        <f>+'Hoja Llave'!M42</f>
        <v>0.57930000000000004</v>
      </c>
      <c r="K237" s="19"/>
      <c r="L237" s="19"/>
      <c r="M237" s="20"/>
    </row>
    <row r="238" spans="1:13" x14ac:dyDescent="0.25">
      <c r="A238" s="4"/>
      <c r="J238" s="20"/>
      <c r="K238" s="19"/>
      <c r="L238" s="19"/>
      <c r="M238" s="20"/>
    </row>
    <row r="239" spans="1:13" x14ac:dyDescent="0.25">
      <c r="A239" s="4" t="s">
        <v>255</v>
      </c>
      <c r="B239" s="8" t="s">
        <v>257</v>
      </c>
      <c r="J239" s="20">
        <f>+'Hoja Llave'!M10</f>
        <v>3.5</v>
      </c>
      <c r="K239" s="19"/>
      <c r="L239" s="19"/>
      <c r="M239" s="20"/>
    </row>
    <row r="240" spans="1:13" x14ac:dyDescent="0.25">
      <c r="A240" s="4"/>
      <c r="J240" s="20"/>
      <c r="K240" s="19"/>
      <c r="L240" s="19"/>
      <c r="M240" s="20"/>
    </row>
    <row r="241" spans="1:14" x14ac:dyDescent="0.25">
      <c r="A241" s="4" t="s">
        <v>262</v>
      </c>
      <c r="B241" s="8" t="s">
        <v>263</v>
      </c>
      <c r="J241" s="126">
        <f>+'Hoja Llave'!M11</f>
        <v>3.25</v>
      </c>
      <c r="K241" s="19"/>
      <c r="L241" s="19"/>
      <c r="M241" s="20"/>
    </row>
    <row r="242" spans="1:14" x14ac:dyDescent="0.25">
      <c r="A242" s="4"/>
      <c r="J242" s="20"/>
      <c r="K242" s="19"/>
      <c r="L242" s="19"/>
      <c r="M242" s="20"/>
    </row>
    <row r="243" spans="1:14" x14ac:dyDescent="0.25">
      <c r="A243" s="4" t="s">
        <v>264</v>
      </c>
      <c r="B243" s="1393" t="s">
        <v>265</v>
      </c>
      <c r="C243" s="1393"/>
      <c r="D243" s="1393"/>
      <c r="E243" s="4" t="s">
        <v>4</v>
      </c>
      <c r="F243" s="1393" t="str">
        <f>+ROUND(J215,4)&amp;" + "&amp;ROUND(J229,4)</f>
        <v>104,574 + 148,4281</v>
      </c>
      <c r="G243" s="1393"/>
      <c r="H243" s="1393"/>
      <c r="I243" s="1393"/>
      <c r="J243" s="155" t="s">
        <v>4</v>
      </c>
      <c r="K243" s="42"/>
      <c r="L243" s="42"/>
      <c r="M243" s="127">
        <f>+J229+J215</f>
        <v>253.00211868131868</v>
      </c>
    </row>
    <row r="245" spans="1:14" s="2" customFormat="1" ht="17.399999999999999" x14ac:dyDescent="0.3">
      <c r="A245" s="147" t="s">
        <v>59</v>
      </c>
      <c r="B245" s="148" t="s">
        <v>157</v>
      </c>
      <c r="C245" s="148"/>
      <c r="D245" s="148"/>
      <c r="E245" s="148"/>
      <c r="F245" s="149" t="s">
        <v>166</v>
      </c>
      <c r="G245" s="148"/>
      <c r="H245" s="148"/>
      <c r="I245" s="148"/>
      <c r="J245" s="150"/>
      <c r="K245" s="148"/>
      <c r="L245" s="148"/>
      <c r="M245" s="152">
        <f>+M251</f>
        <v>14.828098748984999</v>
      </c>
      <c r="N245" s="174" t="s">
        <v>462</v>
      </c>
    </row>
    <row r="247" spans="1:14" x14ac:dyDescent="0.25">
      <c r="B247" s="8" t="s">
        <v>266</v>
      </c>
    </row>
    <row r="248" spans="1:14" x14ac:dyDescent="0.25">
      <c r="B248" s="8" t="s">
        <v>368</v>
      </c>
    </row>
    <row r="249" spans="1:14" x14ac:dyDescent="0.25">
      <c r="B249" s="8" t="s">
        <v>267</v>
      </c>
    </row>
    <row r="251" spans="1:14" x14ac:dyDescent="0.25">
      <c r="A251" s="2" t="s">
        <v>268</v>
      </c>
      <c r="B251" s="1393" t="s">
        <v>336</v>
      </c>
      <c r="C251" s="1393"/>
      <c r="D251" s="1393"/>
      <c r="E251" s="1393"/>
      <c r="F251" s="1393"/>
      <c r="G251" s="1393"/>
      <c r="H251" s="1393"/>
      <c r="I251" s="1393"/>
      <c r="J251" s="20"/>
      <c r="K251" s="19"/>
      <c r="L251" s="19"/>
      <c r="M251" s="157">
        <f>+((J260*(0.7*J256+0.3*J258)+(J262*(0.15*J256+0.45*J258+0.4*J258))))*J264</f>
        <v>14.828098748984999</v>
      </c>
    </row>
    <row r="252" spans="1:14" x14ac:dyDescent="0.25">
      <c r="J252" s="20"/>
      <c r="K252" s="19"/>
      <c r="L252" s="19"/>
      <c r="M252" s="20"/>
    </row>
    <row r="253" spans="1:14" x14ac:dyDescent="0.25">
      <c r="B253" s="62"/>
      <c r="J253" s="20"/>
      <c r="K253" s="19"/>
      <c r="L253" s="19"/>
      <c r="M253" s="20"/>
    </row>
    <row r="254" spans="1:14" x14ac:dyDescent="0.25">
      <c r="A254" s="8" t="s">
        <v>5</v>
      </c>
      <c r="J254" s="20"/>
      <c r="K254" s="19"/>
      <c r="L254" s="19"/>
      <c r="M254" s="20"/>
    </row>
    <row r="255" spans="1:14" x14ac:dyDescent="0.25">
      <c r="J255" s="20"/>
      <c r="K255" s="19"/>
      <c r="L255" s="19"/>
      <c r="M255" s="20"/>
    </row>
    <row r="256" spans="1:14" x14ac:dyDescent="0.25">
      <c r="A256" s="4" t="s">
        <v>167</v>
      </c>
      <c r="B256" s="8" t="s">
        <v>270</v>
      </c>
      <c r="J256" s="126">
        <f>+'Hoja Llave'!M12</f>
        <v>3.3E-3</v>
      </c>
      <c r="K256" s="19"/>
      <c r="L256" s="19"/>
      <c r="M256" s="20"/>
    </row>
    <row r="257" spans="1:14" x14ac:dyDescent="0.25">
      <c r="A257" s="4"/>
      <c r="J257" s="20"/>
      <c r="K257" s="19"/>
      <c r="L257" s="19"/>
      <c r="M257" s="20"/>
    </row>
    <row r="258" spans="1:14" x14ac:dyDescent="0.25">
      <c r="A258" s="4" t="s">
        <v>269</v>
      </c>
      <c r="B258" s="8" t="s">
        <v>271</v>
      </c>
      <c r="J258" s="126">
        <f>+'Hoja Llave'!M51</f>
        <v>4.1999999999999997E-3</v>
      </c>
      <c r="K258" s="19"/>
      <c r="L258" s="19"/>
      <c r="M258" s="20"/>
    </row>
    <row r="259" spans="1:14" x14ac:dyDescent="0.25">
      <c r="A259" s="4"/>
      <c r="J259" s="20"/>
      <c r="K259" s="19"/>
      <c r="L259" s="19"/>
      <c r="M259" s="20"/>
    </row>
    <row r="260" spans="1:14" x14ac:dyDescent="0.25">
      <c r="A260" s="4" t="s">
        <v>193</v>
      </c>
      <c r="B260" s="8" t="s">
        <v>194</v>
      </c>
      <c r="J260" s="20">
        <f>+'Hoja Llave'!M41</f>
        <v>0.42070000000000002</v>
      </c>
      <c r="K260" s="19"/>
      <c r="L260" s="19"/>
      <c r="M260" s="20"/>
    </row>
    <row r="261" spans="1:14" x14ac:dyDescent="0.25">
      <c r="A261" s="4"/>
      <c r="B261" s="8"/>
      <c r="J261" s="20"/>
      <c r="K261" s="19"/>
      <c r="L261" s="19"/>
      <c r="M261" s="20"/>
    </row>
    <row r="262" spans="1:14" x14ac:dyDescent="0.25">
      <c r="A262" s="4" t="s">
        <v>203</v>
      </c>
      <c r="B262" s="8" t="s">
        <v>206</v>
      </c>
      <c r="J262" s="20">
        <f>+'Hoja Llave'!M42</f>
        <v>0.57930000000000004</v>
      </c>
      <c r="K262" s="19"/>
      <c r="L262" s="19"/>
      <c r="M262" s="20"/>
    </row>
    <row r="263" spans="1:14" x14ac:dyDescent="0.25">
      <c r="A263" s="4"/>
      <c r="J263" s="20"/>
      <c r="K263" s="19"/>
      <c r="L263" s="19"/>
      <c r="M263" s="20"/>
    </row>
    <row r="264" spans="1:14" x14ac:dyDescent="0.25">
      <c r="A264" s="4" t="s">
        <v>335</v>
      </c>
      <c r="B264" s="8" t="s">
        <v>272</v>
      </c>
      <c r="J264" s="126">
        <f>+'Hoja Llave'!M16</f>
        <v>3844.71</v>
      </c>
      <c r="K264" s="19"/>
      <c r="L264" s="19"/>
      <c r="M264" s="20"/>
    </row>
    <row r="267" spans="1:14" s="2" customFormat="1" ht="17.399999999999999" x14ac:dyDescent="0.3">
      <c r="A267" s="147" t="s">
        <v>64</v>
      </c>
      <c r="B267" s="148" t="s">
        <v>60</v>
      </c>
      <c r="C267" s="148"/>
      <c r="D267" s="148"/>
      <c r="E267" s="148"/>
      <c r="F267" s="149" t="s">
        <v>79</v>
      </c>
      <c r="G267" s="148"/>
      <c r="H267" s="148"/>
      <c r="I267" s="148"/>
      <c r="J267" s="150"/>
      <c r="K267" s="148"/>
      <c r="L267" s="148"/>
      <c r="M267" s="152">
        <f>+M302</f>
        <v>24.847376261375</v>
      </c>
      <c r="N267" s="174" t="s">
        <v>464</v>
      </c>
    </row>
    <row r="269" spans="1:14" ht="29.25" customHeight="1" x14ac:dyDescent="0.25">
      <c r="A269" s="48"/>
      <c r="B269" s="1406" t="s">
        <v>273</v>
      </c>
      <c r="C269" s="1406"/>
      <c r="D269" s="1406"/>
      <c r="E269" s="1406"/>
      <c r="F269" s="1406"/>
      <c r="G269" s="1406"/>
      <c r="H269" s="1406"/>
      <c r="I269" s="1406"/>
      <c r="J269" s="1406"/>
      <c r="K269" s="1406"/>
      <c r="L269" s="1406"/>
      <c r="M269" s="1406"/>
    </row>
    <row r="270" spans="1:14" ht="29.25" customHeight="1" x14ac:dyDescent="0.25">
      <c r="A270" s="48"/>
      <c r="B270" s="1406"/>
      <c r="C270" s="1406"/>
      <c r="D270" s="1406"/>
      <c r="E270" s="1406"/>
      <c r="F270" s="1406"/>
      <c r="G270" s="1406"/>
      <c r="H270" s="1406"/>
      <c r="I270" s="1406"/>
      <c r="J270" s="1406"/>
      <c r="K270" s="1406"/>
      <c r="L270" s="1406"/>
      <c r="M270" s="1406"/>
    </row>
    <row r="272" spans="1:14" x14ac:dyDescent="0.25">
      <c r="A272" s="8" t="s">
        <v>61</v>
      </c>
    </row>
    <row r="274" spans="1:11" s="2" customFormat="1" x14ac:dyDescent="0.25">
      <c r="A274" s="4" t="s">
        <v>274</v>
      </c>
      <c r="B274" s="1393" t="s">
        <v>383</v>
      </c>
      <c r="C274" s="1393"/>
      <c r="D274" s="1393"/>
      <c r="E274" s="17" t="s">
        <v>4</v>
      </c>
      <c r="F274" s="1393"/>
      <c r="G274" s="1393"/>
      <c r="H274" s="1393"/>
      <c r="I274" s="1393"/>
      <c r="J274" s="51" t="s">
        <v>4</v>
      </c>
      <c r="K274" s="156">
        <f>+J278*((0.5*J280*J282)+(0.5*J280*J285))</f>
        <v>24.349176261375</v>
      </c>
    </row>
    <row r="276" spans="1:11" x14ac:dyDescent="0.25">
      <c r="A276" s="8" t="s">
        <v>5</v>
      </c>
    </row>
    <row r="278" spans="1:11" x14ac:dyDescent="0.25">
      <c r="A278" s="4" t="s">
        <v>193</v>
      </c>
      <c r="B278" s="8" t="s">
        <v>194</v>
      </c>
      <c r="J278" s="10">
        <f>+'Hoja Llave'!M41</f>
        <v>0.42070000000000002</v>
      </c>
    </row>
    <row r="279" spans="1:11" x14ac:dyDescent="0.25">
      <c r="J279" s="20"/>
    </row>
    <row r="280" spans="1:11" x14ac:dyDescent="0.25">
      <c r="A280" s="4" t="s">
        <v>171</v>
      </c>
      <c r="B280" t="s">
        <v>62</v>
      </c>
      <c r="J280" s="158">
        <f>+'Hoja Llave'!M17</f>
        <v>1.0714285714285714E-4</v>
      </c>
    </row>
    <row r="281" spans="1:11" x14ac:dyDescent="0.25">
      <c r="A281" s="4"/>
      <c r="J281" s="20"/>
    </row>
    <row r="282" spans="1:11" ht="12.75" customHeight="1" x14ac:dyDescent="0.25">
      <c r="A282" s="1389" t="s">
        <v>63</v>
      </c>
      <c r="B282" s="1408" t="s">
        <v>188</v>
      </c>
      <c r="C282" s="1408"/>
      <c r="D282" s="1408"/>
      <c r="E282" s="1408"/>
      <c r="F282" s="1408"/>
      <c r="G282" s="1408"/>
      <c r="H282" s="1408"/>
      <c r="I282" s="1408"/>
      <c r="J282" s="1569">
        <f>+'Hoja Llave'!M13</f>
        <v>539125.97</v>
      </c>
    </row>
    <row r="283" spans="1:11" x14ac:dyDescent="0.25">
      <c r="A283" s="1389"/>
      <c r="B283" s="1408"/>
      <c r="C283" s="1408"/>
      <c r="D283" s="1408"/>
      <c r="E283" s="1408"/>
      <c r="F283" s="1408"/>
      <c r="G283" s="1408"/>
      <c r="H283" s="1408"/>
      <c r="I283" s="1408"/>
      <c r="J283" s="1569"/>
    </row>
    <row r="284" spans="1:11" x14ac:dyDescent="0.25">
      <c r="A284" s="4"/>
      <c r="J284" s="20"/>
    </row>
    <row r="285" spans="1:11" ht="12.75" customHeight="1" x14ac:dyDescent="0.25">
      <c r="A285" s="1389" t="s">
        <v>187</v>
      </c>
      <c r="B285" s="1406" t="s">
        <v>382</v>
      </c>
      <c r="C285" s="1408"/>
      <c r="D285" s="1408"/>
      <c r="E285" s="1408"/>
      <c r="F285" s="1408"/>
      <c r="G285" s="1408"/>
      <c r="H285" s="1408"/>
      <c r="I285" s="1408"/>
      <c r="J285" s="159">
        <f>+'Hoja Llave'!M15</f>
        <v>541259</v>
      </c>
    </row>
    <row r="286" spans="1:11" x14ac:dyDescent="0.25">
      <c r="A286" s="1389"/>
      <c r="B286" s="1408"/>
      <c r="C286" s="1408"/>
      <c r="D286" s="1408"/>
      <c r="E286" s="1408"/>
      <c r="F286" s="1408"/>
      <c r="G286" s="1408"/>
      <c r="H286" s="1408"/>
      <c r="I286" s="1408"/>
    </row>
    <row r="287" spans="1:11" x14ac:dyDescent="0.25">
      <c r="A287" s="21"/>
      <c r="B287" s="34"/>
      <c r="C287" s="34"/>
      <c r="D287" s="34"/>
      <c r="E287" s="34"/>
      <c r="F287" s="34"/>
      <c r="G287" s="34"/>
      <c r="H287" s="34"/>
      <c r="I287" s="34"/>
      <c r="J287" s="52"/>
    </row>
    <row r="288" spans="1:11" x14ac:dyDescent="0.25">
      <c r="A288" s="21"/>
      <c r="B288" s="34"/>
      <c r="C288" s="34"/>
      <c r="D288" s="34"/>
      <c r="E288" s="34"/>
      <c r="F288" s="34"/>
      <c r="G288" s="34"/>
      <c r="H288" s="34"/>
      <c r="I288" s="34"/>
      <c r="J288" s="52"/>
    </row>
    <row r="289" spans="1:16" x14ac:dyDescent="0.25">
      <c r="A289" s="183" t="s">
        <v>275</v>
      </c>
      <c r="B289" s="1568" t="s">
        <v>381</v>
      </c>
      <c r="C289" s="1568"/>
      <c r="D289" s="1568"/>
      <c r="E289" s="1568"/>
      <c r="F289" s="1568"/>
      <c r="G289" s="1568"/>
      <c r="H289" s="1568"/>
      <c r="I289" s="1568"/>
      <c r="J289" s="162" t="s">
        <v>4</v>
      </c>
      <c r="K289" s="163">
        <f>+J293*((0.7*J295*J299)+(0.3*J297*J299))</f>
        <v>41.433569756785715</v>
      </c>
      <c r="L289" s="164"/>
      <c r="M289" s="165">
        <v>0.49819999999999998</v>
      </c>
      <c r="N289" s="166" t="s">
        <v>463</v>
      </c>
      <c r="O289" s="167"/>
      <c r="P289" s="168"/>
    </row>
    <row r="290" spans="1:16" x14ac:dyDescent="0.25">
      <c r="J290" s="52"/>
    </row>
    <row r="291" spans="1:16" x14ac:dyDescent="0.25">
      <c r="A291" s="8" t="s">
        <v>5</v>
      </c>
      <c r="J291" s="52"/>
    </row>
    <row r="292" spans="1:16" x14ac:dyDescent="0.25">
      <c r="J292" s="52"/>
    </row>
    <row r="293" spans="1:16" x14ac:dyDescent="0.25">
      <c r="A293" s="4" t="s">
        <v>203</v>
      </c>
      <c r="B293" s="8" t="s">
        <v>206</v>
      </c>
      <c r="J293" s="52">
        <f>+'Hoja Llave'!M42</f>
        <v>0.57930000000000004</v>
      </c>
      <c r="N293" s="71"/>
    </row>
    <row r="294" spans="1:16" x14ac:dyDescent="0.25">
      <c r="J294" s="52"/>
    </row>
    <row r="295" spans="1:16" x14ac:dyDescent="0.25">
      <c r="A295" s="4" t="s">
        <v>171</v>
      </c>
      <c r="B295" t="s">
        <v>375</v>
      </c>
      <c r="J295" s="160">
        <f>+'Hoja Llave'!M17</f>
        <v>1.0714285714285714E-4</v>
      </c>
    </row>
    <row r="296" spans="1:16" x14ac:dyDescent="0.25">
      <c r="A296" s="4"/>
      <c r="J296" s="58"/>
    </row>
    <row r="297" spans="1:16" x14ac:dyDescent="0.25">
      <c r="A297" s="4" t="s">
        <v>374</v>
      </c>
      <c r="B297" t="s">
        <v>376</v>
      </c>
      <c r="J297" s="161">
        <f>+'Hoja Llave'!M18</f>
        <v>1.9047619047619048E-4</v>
      </c>
    </row>
    <row r="298" spans="1:16" x14ac:dyDescent="0.25">
      <c r="A298" s="4"/>
      <c r="J298" s="52"/>
    </row>
    <row r="299" spans="1:16" x14ac:dyDescent="0.25">
      <c r="A299" s="1389" t="s">
        <v>187</v>
      </c>
      <c r="B299" s="1406" t="s">
        <v>382</v>
      </c>
      <c r="C299" s="1408"/>
      <c r="D299" s="1408"/>
      <c r="E299" s="1408"/>
      <c r="F299" s="1408"/>
      <c r="G299" s="1408"/>
      <c r="H299" s="1408"/>
      <c r="I299" s="1408"/>
      <c r="J299" s="52">
        <f>+'Hoja Llave'!M15</f>
        <v>541259</v>
      </c>
    </row>
    <row r="300" spans="1:16" x14ac:dyDescent="0.25">
      <c r="A300" s="1389"/>
      <c r="B300" s="1408"/>
      <c r="C300" s="1408"/>
      <c r="D300" s="1408"/>
      <c r="E300" s="1408"/>
      <c r="F300" s="1408"/>
      <c r="G300" s="1408"/>
      <c r="H300" s="1408"/>
      <c r="I300" s="1408"/>
    </row>
    <row r="301" spans="1:16" x14ac:dyDescent="0.25">
      <c r="A301" s="21"/>
      <c r="B301" s="34"/>
      <c r="C301" s="34"/>
      <c r="D301" s="34"/>
      <c r="E301" s="34"/>
      <c r="F301" s="34"/>
      <c r="G301" s="34"/>
      <c r="H301" s="34"/>
      <c r="I301" s="34"/>
    </row>
    <row r="302" spans="1:16" ht="12.75" customHeight="1" x14ac:dyDescent="0.25">
      <c r="A302" s="21" t="s">
        <v>276</v>
      </c>
      <c r="B302" s="1389" t="s">
        <v>277</v>
      </c>
      <c r="C302" s="1389"/>
      <c r="D302" s="1389"/>
      <c r="E302" s="35" t="s">
        <v>4</v>
      </c>
      <c r="F302" s="1413" t="str">
        <f>+ROUND(K274,4)&amp;" + "&amp;ROUND(K289,4)</f>
        <v>24,3492 + 41,4336</v>
      </c>
      <c r="G302" s="1389"/>
      <c r="H302" s="1389"/>
      <c r="I302" s="59" t="s">
        <v>4</v>
      </c>
      <c r="J302" s="13"/>
      <c r="K302" s="2"/>
      <c r="L302" s="2"/>
      <c r="M302" s="13">
        <f>+M289+K274</f>
        <v>24.847376261375</v>
      </c>
    </row>
    <row r="303" spans="1:16" x14ac:dyDescent="0.25">
      <c r="A303" s="21"/>
      <c r="B303" s="21"/>
      <c r="C303" s="21"/>
      <c r="D303" s="21"/>
      <c r="E303" s="35"/>
      <c r="F303" s="34"/>
      <c r="G303" s="34"/>
      <c r="H303" s="34"/>
      <c r="I303" s="34"/>
    </row>
    <row r="304" spans="1:16" x14ac:dyDescent="0.25">
      <c r="A304" s="21"/>
      <c r="B304" s="34"/>
      <c r="C304" s="34"/>
      <c r="D304" s="34"/>
      <c r="E304" s="34"/>
      <c r="F304" s="34"/>
      <c r="G304" s="34"/>
      <c r="H304" s="34"/>
      <c r="I304" s="34"/>
    </row>
    <row r="305" spans="1:14" s="2" customFormat="1" ht="18" customHeight="1" x14ac:dyDescent="0.3">
      <c r="A305" s="147" t="s">
        <v>66</v>
      </c>
      <c r="B305" s="148" t="s">
        <v>65</v>
      </c>
      <c r="C305" s="148"/>
      <c r="D305" s="148"/>
      <c r="E305" s="148"/>
      <c r="F305" s="149" t="s">
        <v>78</v>
      </c>
      <c r="G305" s="148"/>
      <c r="H305" s="148"/>
      <c r="I305" s="148"/>
      <c r="J305" s="150"/>
      <c r="K305" s="148"/>
      <c r="L305" s="148"/>
      <c r="M305" s="152">
        <f>+M307</f>
        <v>2.4847376261375</v>
      </c>
      <c r="N305" s="174" t="s">
        <v>462</v>
      </c>
    </row>
    <row r="306" spans="1:14" x14ac:dyDescent="0.25">
      <c r="N306" s="1"/>
    </row>
    <row r="307" spans="1:14" s="2" customFormat="1" x14ac:dyDescent="0.25">
      <c r="A307" s="4" t="s">
        <v>163</v>
      </c>
      <c r="B307" s="1393" t="s">
        <v>278</v>
      </c>
      <c r="C307" s="1393"/>
      <c r="D307" s="4" t="s">
        <v>4</v>
      </c>
      <c r="E307" s="1393" t="str">
        <f>0.1&amp;" . "&amp;ROUND(M302,4)</f>
        <v>0,1 . 24,8474</v>
      </c>
      <c r="F307" s="1393"/>
      <c r="G307" s="1393"/>
      <c r="H307" s="1393"/>
      <c r="I307" s="4" t="s">
        <v>4</v>
      </c>
      <c r="J307" s="13"/>
      <c r="M307" s="127">
        <f>0.1*M302</f>
        <v>2.4847376261375</v>
      </c>
      <c r="N307" s="4"/>
    </row>
    <row r="308" spans="1:14" x14ac:dyDescent="0.25">
      <c r="N308" s="1"/>
    </row>
    <row r="309" spans="1:14" x14ac:dyDescent="0.25">
      <c r="N309" s="1"/>
    </row>
    <row r="310" spans="1:14" s="2" customFormat="1" ht="17.399999999999999" x14ac:dyDescent="0.3">
      <c r="A310" s="147" t="s">
        <v>168</v>
      </c>
      <c r="B310" s="148" t="s">
        <v>67</v>
      </c>
      <c r="C310" s="148"/>
      <c r="D310" s="148"/>
      <c r="E310" s="148"/>
      <c r="F310" s="149" t="s">
        <v>77</v>
      </c>
      <c r="G310" s="148"/>
      <c r="H310" s="148"/>
      <c r="I310" s="148"/>
      <c r="J310" s="150"/>
      <c r="K310" s="148"/>
      <c r="L310" s="148"/>
      <c r="M310" s="152">
        <f>+M312</f>
        <v>2.7513333333333332</v>
      </c>
      <c r="N310" s="174" t="s">
        <v>462</v>
      </c>
    </row>
    <row r="311" spans="1:14" x14ac:dyDescent="0.25">
      <c r="N311" s="1"/>
    </row>
    <row r="312" spans="1:14" s="2" customFormat="1" x14ac:dyDescent="0.25">
      <c r="A312" s="1403" t="s">
        <v>68</v>
      </c>
      <c r="B312" s="1390" t="s">
        <v>69</v>
      </c>
      <c r="C312" s="1390"/>
      <c r="D312" s="1403" t="s">
        <v>4</v>
      </c>
      <c r="E312" s="1401">
        <f>+J317</f>
        <v>8254</v>
      </c>
      <c r="F312" s="1401"/>
      <c r="G312" s="1401"/>
      <c r="H312" s="1401"/>
      <c r="I312" s="1403" t="s">
        <v>4</v>
      </c>
      <c r="J312" s="13"/>
      <c r="M312" s="13">
        <f>+E312/E313</f>
        <v>2.7513333333333332</v>
      </c>
      <c r="N312" s="4"/>
    </row>
    <row r="313" spans="1:14" s="2" customFormat="1" x14ac:dyDescent="0.25">
      <c r="A313" s="1403"/>
      <c r="B313" s="1393" t="s">
        <v>70</v>
      </c>
      <c r="C313" s="1393"/>
      <c r="D313" s="1403"/>
      <c r="E313" s="1404">
        <v>3000</v>
      </c>
      <c r="F313" s="1404"/>
      <c r="G313" s="1404"/>
      <c r="H313" s="1404"/>
      <c r="I313" s="1403"/>
      <c r="J313" s="13"/>
      <c r="M313" s="13"/>
      <c r="N313" s="4"/>
    </row>
    <row r="314" spans="1:14" x14ac:dyDescent="0.25">
      <c r="N314" s="1"/>
    </row>
    <row r="315" spans="1:14" x14ac:dyDescent="0.25">
      <c r="A315" s="8" t="s">
        <v>5</v>
      </c>
      <c r="N315" s="1"/>
    </row>
    <row r="316" spans="1:14" x14ac:dyDescent="0.25">
      <c r="N316" s="1"/>
    </row>
    <row r="317" spans="1:14" x14ac:dyDescent="0.25">
      <c r="A317" s="4" t="s">
        <v>69</v>
      </c>
      <c r="B317" t="s">
        <v>71</v>
      </c>
      <c r="J317" s="10">
        <f>+'Hoja Llave'!M23</f>
        <v>8254</v>
      </c>
      <c r="N317" s="1"/>
    </row>
    <row r="318" spans="1:14" x14ac:dyDescent="0.25">
      <c r="N318" s="1"/>
    </row>
    <row r="319" spans="1:14" x14ac:dyDescent="0.25">
      <c r="N319" s="1"/>
    </row>
    <row r="320" spans="1:14" s="2" customFormat="1" x14ac:dyDescent="0.25">
      <c r="A320" s="5" t="s">
        <v>72</v>
      </c>
      <c r="B320" s="6"/>
      <c r="C320" s="6"/>
      <c r="D320" s="6"/>
      <c r="E320" s="6"/>
      <c r="F320" s="7"/>
      <c r="G320" s="6"/>
      <c r="H320" s="6"/>
      <c r="I320" s="6"/>
      <c r="J320" s="18"/>
      <c r="K320" s="6"/>
      <c r="L320" s="6"/>
      <c r="M320" s="144">
        <f>+M322</f>
        <v>297.91366465114953</v>
      </c>
      <c r="N320" s="4"/>
    </row>
    <row r="321" spans="1:15" x14ac:dyDescent="0.25">
      <c r="N321" s="1"/>
    </row>
    <row r="322" spans="1:15" s="2" customFormat="1" x14ac:dyDescent="0.25">
      <c r="A322" s="169" t="s">
        <v>73</v>
      </c>
      <c r="B322" s="169" t="s">
        <v>169</v>
      </c>
      <c r="C322" s="169"/>
      <c r="D322" s="169" t="s">
        <v>4</v>
      </c>
      <c r="E322" s="1564" t="str">
        <f>+ROUND(M243,4)&amp;" + "&amp;ROUND(M251,4)&amp;" + "&amp;ROUND(M302,4)&amp;" + "&amp;ROUND(M307,4)&amp;" + "&amp;ROUND(M312,4)</f>
        <v>253,0021 + 14,8281 + 24,8474 + 2,4847 + 2,7513</v>
      </c>
      <c r="F322" s="1564"/>
      <c r="G322" s="1564"/>
      <c r="H322" s="1564"/>
      <c r="I322" s="1564"/>
      <c r="J322" s="170" t="s">
        <v>4</v>
      </c>
      <c r="K322" s="169"/>
      <c r="L322" s="169"/>
      <c r="M322" s="172">
        <f>+M312+M307+M302+M251+M243</f>
        <v>297.91366465114953</v>
      </c>
      <c r="N322" s="182" t="s">
        <v>462</v>
      </c>
    </row>
    <row r="323" spans="1:15" x14ac:dyDescent="0.25">
      <c r="N323" s="1"/>
    </row>
    <row r="324" spans="1:15" x14ac:dyDescent="0.25">
      <c r="N324" s="1"/>
    </row>
    <row r="325" spans="1:15" s="2" customFormat="1" x14ac:dyDescent="0.25">
      <c r="A325" s="5" t="s">
        <v>74</v>
      </c>
      <c r="B325" s="6" t="s">
        <v>75</v>
      </c>
      <c r="C325" s="6"/>
      <c r="D325" s="6"/>
      <c r="E325" s="6"/>
      <c r="F325" s="7" t="s">
        <v>76</v>
      </c>
      <c r="G325" s="6"/>
      <c r="H325" s="6"/>
      <c r="I325" s="6"/>
      <c r="J325" s="18"/>
      <c r="K325" s="6"/>
      <c r="L325" s="6"/>
      <c r="M325" s="11"/>
      <c r="N325" s="4"/>
    </row>
    <row r="326" spans="1:15" x14ac:dyDescent="0.25">
      <c r="N326" s="1"/>
    </row>
    <row r="327" spans="1:15" x14ac:dyDescent="0.25">
      <c r="N327" s="1"/>
    </row>
    <row r="328" spans="1:15" s="2" customFormat="1" ht="17.399999999999999" x14ac:dyDescent="0.3">
      <c r="A328" s="147" t="s">
        <v>81</v>
      </c>
      <c r="B328" s="148" t="s">
        <v>82</v>
      </c>
      <c r="C328" s="148"/>
      <c r="D328" s="148"/>
      <c r="E328" s="148"/>
      <c r="F328" s="149" t="s">
        <v>84</v>
      </c>
      <c r="G328" s="148"/>
      <c r="H328" s="148"/>
      <c r="I328" s="148"/>
      <c r="J328" s="150"/>
      <c r="K328" s="148"/>
      <c r="L328" s="148"/>
      <c r="M328" s="152">
        <f>+M376</f>
        <v>0</v>
      </c>
      <c r="N328" s="174" t="s">
        <v>462</v>
      </c>
    </row>
    <row r="330" spans="1:15" s="2" customFormat="1" x14ac:dyDescent="0.25">
      <c r="A330" s="1403" t="s">
        <v>281</v>
      </c>
      <c r="B330" s="1390" t="s">
        <v>279</v>
      </c>
      <c r="C330" s="1390"/>
      <c r="D330" s="1403" t="s">
        <v>4</v>
      </c>
      <c r="E330" s="1390" t="str">
        <f>+J335&amp;" . "&amp;J337&amp;" . "&amp;J343</f>
        <v>0,08 . 0,4207 . 0</v>
      </c>
      <c r="F330" s="1390"/>
      <c r="G330" s="1390"/>
      <c r="H330" s="1390"/>
      <c r="I330" s="1403" t="s">
        <v>4</v>
      </c>
      <c r="J330" s="127">
        <f>+(J335*J337*J343)/(J339)</f>
        <v>0</v>
      </c>
      <c r="N330" s="32"/>
      <c r="O330" s="12"/>
    </row>
    <row r="331" spans="1:15" s="2" customFormat="1" x14ac:dyDescent="0.25">
      <c r="A331" s="1403"/>
      <c r="B331" s="1393" t="s">
        <v>280</v>
      </c>
      <c r="C331" s="1393"/>
      <c r="D331" s="1403"/>
      <c r="E331" s="1404">
        <f>+J339</f>
        <v>77614.756994982657</v>
      </c>
      <c r="F331" s="1404"/>
      <c r="G331" s="1404"/>
      <c r="H331" s="1404"/>
      <c r="I331" s="1403"/>
      <c r="J331" s="127"/>
      <c r="M331" s="13"/>
      <c r="O331" s="33"/>
    </row>
    <row r="332" spans="1:15" x14ac:dyDescent="0.25">
      <c r="J332" s="20"/>
    </row>
    <row r="333" spans="1:15" x14ac:dyDescent="0.25">
      <c r="A333" s="8" t="s">
        <v>5</v>
      </c>
      <c r="J333" s="20"/>
    </row>
    <row r="334" spans="1:15" x14ac:dyDescent="0.25">
      <c r="J334" s="20"/>
    </row>
    <row r="335" spans="1:15" x14ac:dyDescent="0.25">
      <c r="A335" s="4" t="s">
        <v>83</v>
      </c>
      <c r="B335" s="8" t="s">
        <v>285</v>
      </c>
      <c r="J335" s="126">
        <f>+'Hoja Llave'!M20</f>
        <v>0.08</v>
      </c>
    </row>
    <row r="336" spans="1:15" x14ac:dyDescent="0.25">
      <c r="A336" s="4"/>
      <c r="J336" s="20"/>
    </row>
    <row r="337" spans="1:10" x14ac:dyDescent="0.25">
      <c r="A337" s="4" t="s">
        <v>193</v>
      </c>
      <c r="B337" s="8" t="s">
        <v>194</v>
      </c>
      <c r="J337" s="20">
        <f>+'Hoja Llave'!M41</f>
        <v>0.42070000000000002</v>
      </c>
    </row>
    <row r="338" spans="1:10" x14ac:dyDescent="0.25">
      <c r="A338" s="4"/>
      <c r="J338" s="20"/>
    </row>
    <row r="339" spans="1:10" x14ac:dyDescent="0.25">
      <c r="A339" s="4" t="s">
        <v>333</v>
      </c>
      <c r="B339" s="8" t="s">
        <v>235</v>
      </c>
      <c r="J339" s="20">
        <f>+'Hoja Llave'!M33</f>
        <v>77614.756994982657</v>
      </c>
    </row>
    <row r="340" spans="1:10" x14ac:dyDescent="0.25">
      <c r="J340" s="20"/>
    </row>
    <row r="341" spans="1:10" x14ac:dyDescent="0.25">
      <c r="A341" s="8" t="s">
        <v>282</v>
      </c>
      <c r="J341" s="20"/>
    </row>
    <row r="342" spans="1:10" x14ac:dyDescent="0.25">
      <c r="J342" s="20"/>
    </row>
    <row r="343" spans="1:10" x14ac:dyDescent="0.25">
      <c r="A343" s="4" t="s">
        <v>283</v>
      </c>
      <c r="B343" s="1393" t="s">
        <v>284</v>
      </c>
      <c r="C343" s="1393"/>
      <c r="D343" s="38" t="s">
        <v>4</v>
      </c>
      <c r="E343" s="1393" t="str">
        <f>+"0,70"&amp;" . "&amp;J347&amp;" + "&amp;"0,30"&amp;" . "&amp;J349</f>
        <v>0,70 . 0 + 0,30 . 0</v>
      </c>
      <c r="F343" s="1393"/>
      <c r="G343" s="1393"/>
      <c r="H343" s="1393"/>
      <c r="I343" s="8" t="s">
        <v>4</v>
      </c>
      <c r="J343" s="127">
        <f>+(0.7*J347)+(0.3*J349)</f>
        <v>0</v>
      </c>
    </row>
    <row r="344" spans="1:10" x14ac:dyDescent="0.25">
      <c r="J344" s="20"/>
    </row>
    <row r="345" spans="1:10" x14ac:dyDescent="0.25">
      <c r="A345" s="8" t="s">
        <v>5</v>
      </c>
      <c r="J345" s="20"/>
    </row>
    <row r="346" spans="1:10" x14ac:dyDescent="0.25">
      <c r="J346" s="20"/>
    </row>
    <row r="347" spans="1:10" x14ac:dyDescent="0.25">
      <c r="A347" s="4" t="s">
        <v>286</v>
      </c>
      <c r="B347" s="8" t="s">
        <v>287</v>
      </c>
      <c r="J347" s="126">
        <f>+'Hoja Llave'!M52</f>
        <v>0</v>
      </c>
    </row>
    <row r="348" spans="1:10" x14ac:dyDescent="0.25">
      <c r="A348" s="4"/>
      <c r="B348" s="8"/>
      <c r="J348" s="20"/>
    </row>
    <row r="349" spans="1:10" x14ac:dyDescent="0.25">
      <c r="A349" s="4" t="s">
        <v>241</v>
      </c>
      <c r="B349" s="8" t="s">
        <v>288</v>
      </c>
      <c r="J349" s="126">
        <f>+'Hoja Llave'!M53</f>
        <v>0</v>
      </c>
    </row>
    <row r="350" spans="1:10" x14ac:dyDescent="0.25">
      <c r="A350" s="4"/>
      <c r="B350" s="8"/>
      <c r="J350" s="20"/>
    </row>
    <row r="351" spans="1:10" x14ac:dyDescent="0.25">
      <c r="A351" s="4"/>
      <c r="B351" s="8"/>
      <c r="J351" s="20"/>
    </row>
    <row r="352" spans="1:10" x14ac:dyDescent="0.25">
      <c r="A352" s="4" t="s">
        <v>289</v>
      </c>
      <c r="B352" s="1390" t="s">
        <v>290</v>
      </c>
      <c r="C352" s="1390"/>
      <c r="D352" s="45" t="s">
        <v>4</v>
      </c>
      <c r="E352" s="1390" t="str">
        <f>+J357&amp;" . "&amp;J359&amp;" . "&amp;J366</f>
        <v>0,08 . 0,5793 . 0</v>
      </c>
      <c r="F352" s="1390"/>
      <c r="G352" s="1390"/>
      <c r="H352" s="1390"/>
      <c r="I352" s="8" t="s">
        <v>4</v>
      </c>
      <c r="J352" s="127">
        <f>+(J357*J359*J366)/J361</f>
        <v>0</v>
      </c>
    </row>
    <row r="353" spans="1:10" x14ac:dyDescent="0.25">
      <c r="A353" s="4"/>
      <c r="B353" s="1402" t="s">
        <v>234</v>
      </c>
      <c r="C353" s="1402"/>
      <c r="D353" s="54"/>
      <c r="E353" s="1407">
        <f>+J361</f>
        <v>116245.86900780138</v>
      </c>
      <c r="F353" s="1407"/>
      <c r="G353" s="1407"/>
      <c r="H353" s="1407"/>
      <c r="J353" s="20"/>
    </row>
    <row r="354" spans="1:10" x14ac:dyDescent="0.25">
      <c r="A354" s="4"/>
      <c r="B354" s="8"/>
      <c r="J354" s="20"/>
    </row>
    <row r="355" spans="1:10" x14ac:dyDescent="0.25">
      <c r="A355" s="38" t="s">
        <v>5</v>
      </c>
      <c r="B355" s="8"/>
      <c r="J355" s="20"/>
    </row>
    <row r="356" spans="1:10" x14ac:dyDescent="0.25">
      <c r="A356" s="4"/>
      <c r="B356" s="8"/>
      <c r="J356" s="20"/>
    </row>
    <row r="357" spans="1:10" x14ac:dyDescent="0.25">
      <c r="A357" s="4" t="s">
        <v>83</v>
      </c>
      <c r="B357" s="8" t="s">
        <v>285</v>
      </c>
      <c r="J357" s="126">
        <f>+'Hoja Llave'!M20</f>
        <v>0.08</v>
      </c>
    </row>
    <row r="358" spans="1:10" x14ac:dyDescent="0.25">
      <c r="A358" s="4"/>
      <c r="B358" s="8"/>
      <c r="J358" s="20"/>
    </row>
    <row r="359" spans="1:10" x14ac:dyDescent="0.25">
      <c r="A359" s="4" t="s">
        <v>291</v>
      </c>
      <c r="B359" s="8" t="s">
        <v>206</v>
      </c>
      <c r="J359" s="20">
        <f>+'Hoja Llave'!M42</f>
        <v>0.57930000000000004</v>
      </c>
    </row>
    <row r="360" spans="1:10" x14ac:dyDescent="0.25">
      <c r="A360" s="4"/>
      <c r="B360" s="8"/>
      <c r="J360" s="20"/>
    </row>
    <row r="361" spans="1:10" x14ac:dyDescent="0.25">
      <c r="A361" s="4" t="s">
        <v>234</v>
      </c>
      <c r="B361" s="8" t="s">
        <v>236</v>
      </c>
      <c r="J361" s="20">
        <f>+'Hoja Llave'!M34</f>
        <v>116245.86900780138</v>
      </c>
    </row>
    <row r="362" spans="1:10" x14ac:dyDescent="0.25">
      <c r="A362" s="4"/>
      <c r="B362" s="8"/>
      <c r="J362" s="20"/>
    </row>
    <row r="363" spans="1:10" x14ac:dyDescent="0.25">
      <c r="A363" s="4"/>
      <c r="B363" s="8"/>
      <c r="J363" s="20"/>
    </row>
    <row r="364" spans="1:10" x14ac:dyDescent="0.25">
      <c r="A364" s="49" t="s">
        <v>292</v>
      </c>
      <c r="B364" s="8"/>
      <c r="J364" s="20"/>
    </row>
    <row r="365" spans="1:10" x14ac:dyDescent="0.25">
      <c r="A365" s="4"/>
      <c r="B365" s="8"/>
      <c r="J365" s="20"/>
    </row>
    <row r="366" spans="1:10" x14ac:dyDescent="0.25">
      <c r="A366" s="4" t="s">
        <v>293</v>
      </c>
      <c r="B366" s="1393" t="s">
        <v>294</v>
      </c>
      <c r="C366" s="1393"/>
      <c r="D366" s="4" t="s">
        <v>4</v>
      </c>
      <c r="E366" s="1393" t="str">
        <f>+"0,15"&amp;" . "&amp;J370&amp;" + "&amp;"0,45"&amp;" . "&amp;J372&amp;" + "&amp;"0,40"&amp;" . "&amp;J374</f>
        <v>0,15 . 0 + 0,45 . 0 + 0,40 . 0</v>
      </c>
      <c r="F366" s="1393"/>
      <c r="G366" s="1393"/>
      <c r="H366" s="1393"/>
      <c r="I366" s="2" t="s">
        <v>4</v>
      </c>
      <c r="J366" s="127">
        <f>+(0.15*J370)+(0.45*J372)+(0.4*J374)</f>
        <v>0</v>
      </c>
    </row>
    <row r="367" spans="1:10" x14ac:dyDescent="0.25">
      <c r="A367" s="4"/>
      <c r="B367" s="4"/>
      <c r="C367" s="4"/>
      <c r="D367" s="4"/>
      <c r="E367" s="4"/>
      <c r="F367" s="4"/>
      <c r="H367" s="8"/>
    </row>
    <row r="368" spans="1:10" x14ac:dyDescent="0.25">
      <c r="A368" s="38" t="s">
        <v>5</v>
      </c>
      <c r="B368" s="4"/>
      <c r="C368" s="4"/>
      <c r="D368" s="4"/>
      <c r="E368" s="4"/>
      <c r="F368" s="4"/>
      <c r="H368" s="8"/>
    </row>
    <row r="369" spans="1:14" x14ac:dyDescent="0.25">
      <c r="A369" s="4"/>
      <c r="B369" s="4"/>
      <c r="C369" s="4"/>
      <c r="D369" s="4"/>
      <c r="E369" s="4"/>
      <c r="F369" s="4"/>
      <c r="H369" s="8"/>
    </row>
    <row r="370" spans="1:14" x14ac:dyDescent="0.25">
      <c r="A370" s="4" t="s">
        <v>286</v>
      </c>
      <c r="B370" s="8" t="s">
        <v>287</v>
      </c>
      <c r="J370" s="126">
        <f>+'Hoja Llave'!M52</f>
        <v>0</v>
      </c>
    </row>
    <row r="371" spans="1:14" x14ac:dyDescent="0.25">
      <c r="A371" s="4"/>
      <c r="B371" s="8"/>
      <c r="J371" s="20"/>
    </row>
    <row r="372" spans="1:14" x14ac:dyDescent="0.25">
      <c r="A372" s="4" t="s">
        <v>241</v>
      </c>
      <c r="B372" s="8" t="s">
        <v>288</v>
      </c>
      <c r="J372" s="126">
        <f>+'Hoja Llave'!M53</f>
        <v>0</v>
      </c>
    </row>
    <row r="373" spans="1:14" x14ac:dyDescent="0.25">
      <c r="A373" s="4"/>
      <c r="B373" s="8"/>
      <c r="J373" s="20"/>
    </row>
    <row r="374" spans="1:14" x14ac:dyDescent="0.25">
      <c r="A374" s="4" t="s">
        <v>242</v>
      </c>
      <c r="B374" s="8" t="s">
        <v>295</v>
      </c>
      <c r="J374" s="126">
        <f>+'Hoja Llave'!M54</f>
        <v>0</v>
      </c>
    </row>
    <row r="375" spans="1:14" x14ac:dyDescent="0.25">
      <c r="A375" s="4"/>
      <c r="B375" s="8"/>
    </row>
    <row r="376" spans="1:14" x14ac:dyDescent="0.25">
      <c r="A376" s="4" t="s">
        <v>296</v>
      </c>
      <c r="B376" s="1393" t="s">
        <v>297</v>
      </c>
      <c r="C376" s="1393"/>
      <c r="D376" s="17" t="s">
        <v>4</v>
      </c>
      <c r="E376" s="1393" t="str">
        <f>+ROUND(J330,4)&amp;" + "&amp;ROUND(J352,4)</f>
        <v>0 + 0</v>
      </c>
      <c r="F376" s="1393"/>
      <c r="G376" s="1393"/>
      <c r="H376" s="1393"/>
      <c r="I376" s="2" t="s">
        <v>4</v>
      </c>
      <c r="J376" s="13"/>
      <c r="K376" s="2"/>
      <c r="L376" s="2"/>
      <c r="M376" s="13">
        <f>+J352+J330</f>
        <v>0</v>
      </c>
    </row>
    <row r="377" spans="1:14" x14ac:dyDescent="0.25">
      <c r="A377" s="4"/>
      <c r="B377" s="8"/>
    </row>
    <row r="378" spans="1:14" x14ac:dyDescent="0.25">
      <c r="A378" s="4"/>
      <c r="B378" s="8"/>
    </row>
    <row r="379" spans="1:14" s="2" customFormat="1" ht="17.399999999999999" x14ac:dyDescent="0.3">
      <c r="A379" s="147" t="s">
        <v>85</v>
      </c>
      <c r="B379" s="148" t="s">
        <v>86</v>
      </c>
      <c r="C379" s="148"/>
      <c r="D379" s="148"/>
      <c r="E379" s="148"/>
      <c r="F379" s="149" t="s">
        <v>87</v>
      </c>
      <c r="G379" s="148"/>
      <c r="H379" s="148"/>
      <c r="I379" s="148"/>
      <c r="J379" s="150"/>
      <c r="K379" s="148"/>
      <c r="L379" s="148"/>
      <c r="M379" s="152">
        <f>+M414</f>
        <v>0</v>
      </c>
      <c r="N379" s="174" t="s">
        <v>462</v>
      </c>
    </row>
    <row r="380" spans="1:14" x14ac:dyDescent="0.25">
      <c r="N380" s="1"/>
    </row>
    <row r="381" spans="1:14" s="2" customFormat="1" x14ac:dyDescent="0.25">
      <c r="A381" s="1403" t="s">
        <v>298</v>
      </c>
      <c r="B381" s="1390" t="s">
        <v>299</v>
      </c>
      <c r="C381" s="1390"/>
      <c r="D381" s="1403" t="s">
        <v>4</v>
      </c>
      <c r="E381" s="1390" t="str">
        <f>+J386&amp;" . "&amp;J388&amp;" . "&amp;"("&amp;"1"&amp;" - "&amp;J392&amp;" . "&amp;J394&amp;")"&amp;" . "&amp;J343</f>
        <v>0,1 . 0,4207 . (1 - 0 . 0,08) . 0</v>
      </c>
      <c r="F381" s="1390"/>
      <c r="G381" s="1390"/>
      <c r="H381" s="1390"/>
      <c r="I381" s="1403" t="s">
        <v>4</v>
      </c>
      <c r="J381" s="13">
        <f>+((J386*J388)*(1-J392*J394)*J343)/J390</f>
        <v>0</v>
      </c>
      <c r="N381" s="4"/>
    </row>
    <row r="382" spans="1:14" s="2" customFormat="1" x14ac:dyDescent="0.25">
      <c r="A382" s="1403"/>
      <c r="B382" s="1393" t="s">
        <v>50</v>
      </c>
      <c r="C382" s="1393"/>
      <c r="D382" s="1403"/>
      <c r="E382" s="1404">
        <f>+J390</f>
        <v>77614.756994982657</v>
      </c>
      <c r="F382" s="1404"/>
      <c r="G382" s="1404"/>
      <c r="H382" s="1404"/>
      <c r="I382" s="1403"/>
      <c r="J382" s="13"/>
      <c r="M382" s="13"/>
      <c r="N382" s="4"/>
    </row>
    <row r="383" spans="1:14" x14ac:dyDescent="0.25">
      <c r="N383" s="1"/>
    </row>
    <row r="384" spans="1:14" x14ac:dyDescent="0.25">
      <c r="A384" s="8" t="s">
        <v>5</v>
      </c>
      <c r="N384" s="1"/>
    </row>
    <row r="385" spans="1:14" x14ac:dyDescent="0.25">
      <c r="N385" s="1"/>
    </row>
    <row r="386" spans="1:14" x14ac:dyDescent="0.25">
      <c r="A386" s="4" t="s">
        <v>88</v>
      </c>
      <c r="B386" s="8" t="s">
        <v>300</v>
      </c>
      <c r="J386" s="126">
        <f>+'Hoja Llave'!M21</f>
        <v>0.1</v>
      </c>
      <c r="N386" s="1"/>
    </row>
    <row r="387" spans="1:14" x14ac:dyDescent="0.25">
      <c r="A387" s="4"/>
      <c r="N387" s="1"/>
    </row>
    <row r="388" spans="1:14" x14ac:dyDescent="0.25">
      <c r="A388" s="4" t="s">
        <v>193</v>
      </c>
      <c r="B388" s="8" t="s">
        <v>194</v>
      </c>
      <c r="J388" s="10">
        <f>+'Hoja Llave'!M41</f>
        <v>0.42070000000000002</v>
      </c>
      <c r="N388" s="1"/>
    </row>
    <row r="389" spans="1:14" x14ac:dyDescent="0.25">
      <c r="A389" s="4"/>
      <c r="N389" s="1"/>
    </row>
    <row r="390" spans="1:14" x14ac:dyDescent="0.25">
      <c r="A390" s="4" t="s">
        <v>50</v>
      </c>
      <c r="B390" s="8" t="s">
        <v>235</v>
      </c>
      <c r="J390" s="126">
        <f>+'Hoja Llave'!M33</f>
        <v>77614.756994982657</v>
      </c>
      <c r="K390" s="47" t="s">
        <v>397</v>
      </c>
      <c r="N390" s="1"/>
    </row>
    <row r="391" spans="1:14" x14ac:dyDescent="0.25">
      <c r="A391" s="4"/>
      <c r="N391" s="1"/>
    </row>
    <row r="392" spans="1:14" x14ac:dyDescent="0.25">
      <c r="A392" s="4" t="s">
        <v>301</v>
      </c>
      <c r="B392" s="8" t="s">
        <v>302</v>
      </c>
      <c r="J392" s="126">
        <f>+'Hoja Llave'!M55</f>
        <v>0</v>
      </c>
      <c r="N392" s="1"/>
    </row>
    <row r="393" spans="1:14" x14ac:dyDescent="0.25">
      <c r="A393" s="4"/>
      <c r="N393" s="1"/>
    </row>
    <row r="394" spans="1:14" x14ac:dyDescent="0.25">
      <c r="A394" s="4" t="s">
        <v>83</v>
      </c>
      <c r="B394" s="8" t="s">
        <v>285</v>
      </c>
      <c r="J394" s="126">
        <f>+'Hoja Llave'!M20</f>
        <v>0.08</v>
      </c>
      <c r="N394" s="1"/>
    </row>
    <row r="395" spans="1:14" x14ac:dyDescent="0.25">
      <c r="A395" s="4"/>
      <c r="N395" s="1"/>
    </row>
    <row r="396" spans="1:14" x14ac:dyDescent="0.25">
      <c r="A396" s="4"/>
      <c r="N396" s="1"/>
    </row>
    <row r="397" spans="1:14" x14ac:dyDescent="0.25">
      <c r="A397" s="1403" t="s">
        <v>304</v>
      </c>
      <c r="B397" s="1390" t="s">
        <v>305</v>
      </c>
      <c r="C397" s="1390"/>
      <c r="D397" s="1403" t="s">
        <v>4</v>
      </c>
      <c r="E397" s="1390" t="str">
        <f>+"("&amp;J402&amp;" . "&amp;J404&amp;" . "&amp;"("&amp;"1"&amp;" - "&amp;J408&amp;" . "&amp;J410&amp;")"&amp;" . "&amp;J412</f>
        <v>(0,1 . 0,5793 . (1 - 0 . 0,08) . 0</v>
      </c>
      <c r="F397" s="1390"/>
      <c r="G397" s="1390"/>
      <c r="H397" s="1390"/>
      <c r="I397" s="1403" t="s">
        <v>4</v>
      </c>
      <c r="J397" s="13">
        <f>+((J402*J404)*(1-J408*J410)*J412)/J406</f>
        <v>0</v>
      </c>
      <c r="N397" s="1"/>
    </row>
    <row r="398" spans="1:14" x14ac:dyDescent="0.25">
      <c r="A398" s="1403"/>
      <c r="B398" s="1393" t="s">
        <v>234</v>
      </c>
      <c r="C398" s="1393"/>
      <c r="D398" s="1403"/>
      <c r="E398" s="1404">
        <f>+J406</f>
        <v>116245.86900780138</v>
      </c>
      <c r="F398" s="1404"/>
      <c r="G398" s="1404"/>
      <c r="H398" s="1404"/>
      <c r="I398" s="1403"/>
      <c r="J398" s="13"/>
      <c r="N398" s="1"/>
    </row>
    <row r="399" spans="1:14" x14ac:dyDescent="0.25">
      <c r="N399" s="1"/>
    </row>
    <row r="400" spans="1:14" x14ac:dyDescent="0.25">
      <c r="A400" s="8" t="s">
        <v>5</v>
      </c>
      <c r="N400" s="1"/>
    </row>
    <row r="401" spans="1:14" x14ac:dyDescent="0.25">
      <c r="N401" s="1"/>
    </row>
    <row r="402" spans="1:14" x14ac:dyDescent="0.25">
      <c r="A402" s="4" t="s">
        <v>88</v>
      </c>
      <c r="B402" s="8" t="s">
        <v>300</v>
      </c>
      <c r="J402" s="126">
        <f>+'Hoja Llave'!M21</f>
        <v>0.1</v>
      </c>
      <c r="N402" s="1"/>
    </row>
    <row r="403" spans="1:14" x14ac:dyDescent="0.25">
      <c r="A403" s="4"/>
      <c r="N403" s="1"/>
    </row>
    <row r="404" spans="1:14" x14ac:dyDescent="0.25">
      <c r="A404" s="4" t="s">
        <v>203</v>
      </c>
      <c r="B404" s="8" t="s">
        <v>206</v>
      </c>
      <c r="J404" s="10">
        <f>+'Hoja Llave'!M42</f>
        <v>0.57930000000000004</v>
      </c>
      <c r="N404" s="1"/>
    </row>
    <row r="405" spans="1:14" x14ac:dyDescent="0.25">
      <c r="A405" s="4"/>
      <c r="N405" s="1"/>
    </row>
    <row r="406" spans="1:14" x14ac:dyDescent="0.25">
      <c r="A406" s="4" t="s">
        <v>234</v>
      </c>
      <c r="B406" s="8" t="s">
        <v>236</v>
      </c>
      <c r="J406" s="126">
        <f>+'Hoja Llave'!M34</f>
        <v>116245.86900780138</v>
      </c>
      <c r="K406" s="47" t="s">
        <v>397</v>
      </c>
      <c r="N406" s="1"/>
    </row>
    <row r="407" spans="1:14" x14ac:dyDescent="0.25">
      <c r="A407" s="4"/>
      <c r="J407" s="20"/>
      <c r="K407" s="19"/>
      <c r="N407" s="1"/>
    </row>
    <row r="408" spans="1:14" x14ac:dyDescent="0.25">
      <c r="A408" s="4" t="s">
        <v>301</v>
      </c>
      <c r="B408" s="8" t="s">
        <v>302</v>
      </c>
      <c r="J408" s="126">
        <f>+'Hoja Llave'!M55</f>
        <v>0</v>
      </c>
      <c r="K408" s="19"/>
      <c r="N408" s="1"/>
    </row>
    <row r="409" spans="1:14" x14ac:dyDescent="0.25">
      <c r="A409" s="4"/>
      <c r="J409" s="20"/>
      <c r="K409" s="19"/>
      <c r="N409" s="1"/>
    </row>
    <row r="410" spans="1:14" x14ac:dyDescent="0.25">
      <c r="A410" s="4" t="s">
        <v>83</v>
      </c>
      <c r="B410" s="8" t="s">
        <v>285</v>
      </c>
      <c r="J410" s="10">
        <f>+'Hoja Llave'!M20</f>
        <v>0.08</v>
      </c>
      <c r="N410" s="1"/>
    </row>
    <row r="411" spans="1:14" x14ac:dyDescent="0.25">
      <c r="A411" s="4"/>
      <c r="N411" s="1"/>
    </row>
    <row r="412" spans="1:14" x14ac:dyDescent="0.25">
      <c r="A412" s="4" t="s">
        <v>306</v>
      </c>
      <c r="B412" s="8" t="s">
        <v>292</v>
      </c>
      <c r="J412" s="10">
        <f>+J366</f>
        <v>0</v>
      </c>
      <c r="N412" s="1"/>
    </row>
    <row r="413" spans="1:14" x14ac:dyDescent="0.25">
      <c r="A413" s="4"/>
      <c r="B413" s="8"/>
      <c r="N413" s="1"/>
    </row>
    <row r="414" spans="1:14" s="2" customFormat="1" x14ac:dyDescent="0.25">
      <c r="A414" s="4" t="s">
        <v>307</v>
      </c>
      <c r="B414" s="1393" t="s">
        <v>308</v>
      </c>
      <c r="C414" s="1393"/>
      <c r="D414" s="1393"/>
      <c r="E414" s="2" t="s">
        <v>4</v>
      </c>
      <c r="F414" s="1398" t="str">
        <f>+ROUND(J381,4)&amp;" + "&amp;ROUND(J397,4)</f>
        <v>0 + 0</v>
      </c>
      <c r="G414" s="1393"/>
      <c r="H414" s="1393"/>
      <c r="I414" s="1393"/>
      <c r="J414" s="13" t="s">
        <v>4</v>
      </c>
      <c r="M414" s="13">
        <f>+J381+J397</f>
        <v>0</v>
      </c>
      <c r="N414" s="4"/>
    </row>
    <row r="415" spans="1:14" x14ac:dyDescent="0.25">
      <c r="A415" s="4"/>
      <c r="N415" s="1"/>
    </row>
    <row r="416" spans="1:14" x14ac:dyDescent="0.25">
      <c r="N416" s="1"/>
    </row>
    <row r="417" spans="1:14" s="2" customFormat="1" ht="17.399999999999999" x14ac:dyDescent="0.3">
      <c r="A417" s="147" t="s">
        <v>89</v>
      </c>
      <c r="B417" s="148" t="s">
        <v>90</v>
      </c>
      <c r="C417" s="148"/>
      <c r="D417" s="148"/>
      <c r="E417" s="148"/>
      <c r="F417" s="149" t="s">
        <v>106</v>
      </c>
      <c r="G417" s="148"/>
      <c r="H417" s="148"/>
      <c r="I417" s="148"/>
      <c r="J417" s="150"/>
      <c r="K417" s="148"/>
      <c r="L417" s="148"/>
      <c r="M417" s="152">
        <f>+M421</f>
        <v>0</v>
      </c>
      <c r="N417" s="174" t="s">
        <v>462</v>
      </c>
    </row>
    <row r="418" spans="1:14" x14ac:dyDescent="0.25">
      <c r="N418" s="1"/>
    </row>
    <row r="419" spans="1:14" x14ac:dyDescent="0.25">
      <c r="A419" s="8" t="s">
        <v>91</v>
      </c>
      <c r="N419" s="1"/>
    </row>
    <row r="420" spans="1:14" x14ac:dyDescent="0.25">
      <c r="N420" s="1"/>
    </row>
    <row r="421" spans="1:14" s="2" customFormat="1" x14ac:dyDescent="0.25">
      <c r="A421" s="4" t="s">
        <v>92</v>
      </c>
      <c r="B421" s="1393" t="s">
        <v>93</v>
      </c>
      <c r="C421" s="1393"/>
      <c r="D421" s="4" t="s">
        <v>4</v>
      </c>
      <c r="E421" s="1405">
        <f>+M376</f>
        <v>0</v>
      </c>
      <c r="F421" s="1405"/>
      <c r="G421" s="1405"/>
      <c r="H421" s="1405"/>
      <c r="I421" s="4" t="s">
        <v>4</v>
      </c>
      <c r="J421" s="13"/>
      <c r="M421" s="13">
        <f>+M376</f>
        <v>0</v>
      </c>
      <c r="N421" s="4"/>
    </row>
    <row r="422" spans="1:14" x14ac:dyDescent="0.25">
      <c r="N422" s="1"/>
    </row>
    <row r="423" spans="1:14" x14ac:dyDescent="0.25">
      <c r="N423" s="1"/>
    </row>
    <row r="424" spans="1:14" s="2" customFormat="1" ht="17.399999999999999" x14ac:dyDescent="0.3">
      <c r="A424" s="147" t="s">
        <v>94</v>
      </c>
      <c r="B424" s="148" t="s">
        <v>95</v>
      </c>
      <c r="C424" s="148"/>
      <c r="D424" s="148"/>
      <c r="E424" s="148"/>
      <c r="F424" s="149" t="s">
        <v>107</v>
      </c>
      <c r="G424" s="148"/>
      <c r="H424" s="148"/>
      <c r="I424" s="148"/>
      <c r="J424" s="150"/>
      <c r="K424" s="148"/>
      <c r="L424" s="148"/>
      <c r="M424" s="152">
        <f>+M429</f>
        <v>14.634213908019658</v>
      </c>
      <c r="N424" s="174" t="s">
        <v>462</v>
      </c>
    </row>
    <row r="425" spans="1:14" x14ac:dyDescent="0.25">
      <c r="A425" s="2" t="s">
        <v>96</v>
      </c>
    </row>
    <row r="426" spans="1:14" ht="12.75" customHeight="1" x14ac:dyDescent="0.25">
      <c r="A426" s="1406" t="s">
        <v>97</v>
      </c>
      <c r="B426" s="1406"/>
      <c r="C426" s="1406"/>
      <c r="D426" s="1406"/>
      <c r="E426" s="1406"/>
      <c r="F426" s="1406"/>
      <c r="G426" s="1406"/>
      <c r="H426" s="1406"/>
      <c r="I426" s="1406"/>
      <c r="J426" s="1406"/>
      <c r="K426" s="1406"/>
      <c r="L426" s="1406"/>
      <c r="M426" s="1406"/>
    </row>
    <row r="427" spans="1:14" x14ac:dyDescent="0.25">
      <c r="A427" s="1406"/>
      <c r="B427" s="1406"/>
      <c r="C427" s="1406"/>
      <c r="D427" s="1406"/>
      <c r="E427" s="1406"/>
      <c r="F427" s="1406"/>
      <c r="G427" s="1406"/>
      <c r="H427" s="1406"/>
      <c r="I427" s="1406"/>
      <c r="J427" s="1406"/>
      <c r="K427" s="1406"/>
      <c r="L427" s="1406"/>
      <c r="M427" s="1406"/>
    </row>
    <row r="429" spans="1:14" s="2" customFormat="1" x14ac:dyDescent="0.25">
      <c r="A429" s="1403" t="s">
        <v>98</v>
      </c>
      <c r="B429" s="1390" t="s">
        <v>99</v>
      </c>
      <c r="C429" s="1390"/>
      <c r="D429" s="1403" t="s">
        <v>4</v>
      </c>
      <c r="E429" s="1390" t="str">
        <f>1.3&amp;" . "&amp;J434</f>
        <v>1,3 . 93803,21</v>
      </c>
      <c r="F429" s="1390"/>
      <c r="G429" s="1390"/>
      <c r="H429" s="1390"/>
      <c r="I429" s="1403" t="s">
        <v>4</v>
      </c>
      <c r="J429" s="127"/>
      <c r="K429" s="42"/>
      <c r="L429" s="42"/>
      <c r="M429" s="127">
        <f>(1.3*J434)/((J442*J436)+(J438*J440))</f>
        <v>14.634213908019658</v>
      </c>
    </row>
    <row r="430" spans="1:14" s="2" customFormat="1" x14ac:dyDescent="0.25">
      <c r="A430" s="1403"/>
      <c r="B430" s="1393" t="s">
        <v>337</v>
      </c>
      <c r="C430" s="1393"/>
      <c r="D430" s="1403"/>
      <c r="E430" s="1396" t="str">
        <f>+J442&amp;" . "&amp;J436&amp;" + "&amp;J438&amp;" . "&amp;J440</f>
        <v>0,4207 . 6467,89641624855 + 0,5793 . 9687,15575065011</v>
      </c>
      <c r="F430" s="1396"/>
      <c r="G430" s="1396"/>
      <c r="H430" s="1396"/>
      <c r="I430" s="1403"/>
      <c r="J430" s="127"/>
      <c r="K430" s="42"/>
      <c r="L430" s="42"/>
      <c r="M430" s="127"/>
    </row>
    <row r="431" spans="1:14" x14ac:dyDescent="0.25">
      <c r="J431" s="20"/>
      <c r="K431" s="19"/>
      <c r="L431" s="19"/>
      <c r="M431" s="20"/>
    </row>
    <row r="432" spans="1:14" x14ac:dyDescent="0.25">
      <c r="A432" s="8" t="s">
        <v>5</v>
      </c>
      <c r="J432" s="20"/>
      <c r="K432" s="19"/>
      <c r="L432" s="19"/>
      <c r="M432" s="20"/>
    </row>
    <row r="433" spans="1:14" x14ac:dyDescent="0.25">
      <c r="J433" s="20"/>
      <c r="K433" s="19"/>
      <c r="L433" s="19"/>
      <c r="M433" s="20"/>
    </row>
    <row r="434" spans="1:14" x14ac:dyDescent="0.25">
      <c r="A434" s="4" t="s">
        <v>100</v>
      </c>
      <c r="B434" s="8" t="s">
        <v>309</v>
      </c>
      <c r="J434" s="126">
        <f>+'Hoja Llave'!M22</f>
        <v>93803.21</v>
      </c>
      <c r="K434" s="19"/>
      <c r="L434" s="19"/>
      <c r="M434" s="20"/>
    </row>
    <row r="435" spans="1:14" x14ac:dyDescent="0.25">
      <c r="A435" s="4"/>
      <c r="J435" s="20"/>
      <c r="K435" s="19"/>
      <c r="L435" s="19"/>
      <c r="M435" s="20"/>
    </row>
    <row r="436" spans="1:14" x14ac:dyDescent="0.25">
      <c r="A436" s="4" t="s">
        <v>329</v>
      </c>
      <c r="B436" s="8" t="s">
        <v>310</v>
      </c>
      <c r="J436" s="126">
        <f>+'Hoja Llave'!M30</f>
        <v>6467.8964162485545</v>
      </c>
      <c r="K436" s="19"/>
      <c r="L436" s="19"/>
      <c r="M436" s="20"/>
    </row>
    <row r="437" spans="1:14" x14ac:dyDescent="0.25">
      <c r="A437" s="4"/>
      <c r="J437" s="20"/>
      <c r="K437" s="19"/>
      <c r="L437" s="19"/>
      <c r="M437" s="20"/>
    </row>
    <row r="438" spans="1:14" x14ac:dyDescent="0.25">
      <c r="A438" s="4" t="s">
        <v>203</v>
      </c>
      <c r="B438" s="8" t="s">
        <v>206</v>
      </c>
      <c r="J438" s="126">
        <f>+'Hoja Llave'!M42</f>
        <v>0.57930000000000004</v>
      </c>
      <c r="K438" s="19"/>
      <c r="L438" s="19"/>
      <c r="M438" s="20"/>
    </row>
    <row r="439" spans="1:14" x14ac:dyDescent="0.25">
      <c r="A439" s="4"/>
      <c r="J439" s="20"/>
      <c r="K439" s="19"/>
      <c r="L439" s="19"/>
      <c r="M439" s="20"/>
    </row>
    <row r="440" spans="1:14" x14ac:dyDescent="0.25">
      <c r="A440" s="4" t="s">
        <v>234</v>
      </c>
      <c r="B440" s="8" t="s">
        <v>311</v>
      </c>
      <c r="J440" s="126">
        <f>+'Hoja Llave'!M46</f>
        <v>9687.155750650114</v>
      </c>
      <c r="K440" s="19"/>
      <c r="L440" s="19"/>
      <c r="M440" s="20"/>
    </row>
    <row r="441" spans="1:14" x14ac:dyDescent="0.25">
      <c r="A441" s="4"/>
      <c r="J441" s="20"/>
      <c r="K441" s="19"/>
      <c r="L441" s="19"/>
      <c r="M441" s="20"/>
    </row>
    <row r="442" spans="1:14" x14ac:dyDescent="0.25">
      <c r="A442" s="4" t="s">
        <v>193</v>
      </c>
      <c r="B442" s="8" t="s">
        <v>206</v>
      </c>
      <c r="J442" s="126">
        <f>+'Hoja Llave'!M41</f>
        <v>0.42070000000000002</v>
      </c>
      <c r="K442" s="19"/>
      <c r="L442" s="19"/>
      <c r="M442" s="20"/>
    </row>
    <row r="445" spans="1:14" s="2" customFormat="1" x14ac:dyDescent="0.25">
      <c r="A445" s="5" t="s">
        <v>101</v>
      </c>
      <c r="B445" s="6"/>
      <c r="C445" s="6"/>
      <c r="D445" s="6"/>
      <c r="E445" s="6"/>
      <c r="F445" s="7"/>
      <c r="G445" s="6"/>
      <c r="H445" s="6"/>
      <c r="I445" s="6"/>
      <c r="J445" s="18"/>
      <c r="K445" s="6"/>
      <c r="L445" s="6"/>
      <c r="M445" s="144">
        <f>+M447</f>
        <v>14.634213908019658</v>
      </c>
    </row>
    <row r="447" spans="1:14" s="2" customFormat="1" x14ac:dyDescent="0.25">
      <c r="A447" s="169" t="s">
        <v>102</v>
      </c>
      <c r="B447" s="169" t="s">
        <v>103</v>
      </c>
      <c r="C447" s="169"/>
      <c r="D447" s="169" t="s">
        <v>4</v>
      </c>
      <c r="E447" s="1564" t="str">
        <f>+ROUND(M376,4)&amp;" + "&amp;ROUND(M414,4)&amp;" + "&amp;ROUND(M421,4)&amp;" + "&amp;ROUND(M429,4)</f>
        <v>0 + 0 + 0 + 14,6342</v>
      </c>
      <c r="F447" s="1564"/>
      <c r="G447" s="1564"/>
      <c r="H447" s="1564"/>
      <c r="I447" s="1564" t="s">
        <v>4</v>
      </c>
      <c r="J447" s="170"/>
      <c r="K447" s="169"/>
      <c r="L447" s="169"/>
      <c r="M447" s="172">
        <f>+M429+M421+M414+M376</f>
        <v>14.634213908019658</v>
      </c>
      <c r="N447" s="182" t="s">
        <v>465</v>
      </c>
    </row>
    <row r="448" spans="1:14" x14ac:dyDescent="0.25">
      <c r="N448" s="1"/>
    </row>
    <row r="449" spans="1:14" x14ac:dyDescent="0.25">
      <c r="N449" s="1"/>
    </row>
    <row r="450" spans="1:14" s="2" customFormat="1" x14ac:dyDescent="0.25">
      <c r="A450" s="5" t="s">
        <v>104</v>
      </c>
      <c r="B450" s="6" t="s">
        <v>105</v>
      </c>
      <c r="C450" s="6"/>
      <c r="D450" s="6"/>
      <c r="E450" s="6"/>
      <c r="F450" s="7" t="s">
        <v>108</v>
      </c>
      <c r="G450" s="6"/>
      <c r="H450" s="6"/>
      <c r="I450" s="6"/>
      <c r="J450" s="18"/>
      <c r="K450" s="6"/>
      <c r="L450" s="6"/>
      <c r="M450" s="11"/>
      <c r="N450" s="4"/>
    </row>
    <row r="451" spans="1:14" x14ac:dyDescent="0.25">
      <c r="N451" s="1"/>
    </row>
    <row r="452" spans="1:14" x14ac:dyDescent="0.25">
      <c r="N452" s="1"/>
    </row>
    <row r="453" spans="1:14" s="2" customFormat="1" x14ac:dyDescent="0.25">
      <c r="A453" s="5" t="s">
        <v>109</v>
      </c>
      <c r="B453" s="6" t="s">
        <v>110</v>
      </c>
      <c r="C453" s="6"/>
      <c r="D453" s="6"/>
      <c r="E453" s="6"/>
      <c r="F453" s="7" t="s">
        <v>111</v>
      </c>
      <c r="G453" s="6"/>
      <c r="H453" s="6"/>
      <c r="I453" s="6"/>
      <c r="J453" s="18"/>
      <c r="K453" s="6"/>
      <c r="L453" s="6"/>
      <c r="M453" s="11"/>
      <c r="N453" s="4"/>
    </row>
    <row r="454" spans="1:14" x14ac:dyDescent="0.25">
      <c r="N454" s="1"/>
    </row>
    <row r="455" spans="1:14" x14ac:dyDescent="0.25">
      <c r="N455" s="1"/>
    </row>
    <row r="456" spans="1:14" s="2" customFormat="1" ht="17.399999999999999" x14ac:dyDescent="0.3">
      <c r="A456" s="147" t="s">
        <v>112</v>
      </c>
      <c r="B456" s="148" t="s">
        <v>113</v>
      </c>
      <c r="C456" s="148"/>
      <c r="D456" s="148"/>
      <c r="E456" s="148"/>
      <c r="F456" s="149" t="s">
        <v>114</v>
      </c>
      <c r="G456" s="148"/>
      <c r="H456" s="148"/>
      <c r="I456" s="148"/>
      <c r="J456" s="150"/>
      <c r="K456" s="148"/>
      <c r="L456" s="148"/>
      <c r="M456" s="152">
        <f>+M498</f>
        <v>-1.0034438575667048</v>
      </c>
      <c r="N456" s="174" t="s">
        <v>462</v>
      </c>
    </row>
    <row r="458" spans="1:14" x14ac:dyDescent="0.25">
      <c r="A458" s="8" t="s">
        <v>115</v>
      </c>
    </row>
    <row r="460" spans="1:14" s="2" customFormat="1" x14ac:dyDescent="0.25">
      <c r="A460" s="4" t="s">
        <v>116</v>
      </c>
      <c r="B460" s="1393" t="s">
        <v>342</v>
      </c>
      <c r="C460" s="1393"/>
      <c r="D460" s="1393"/>
      <c r="E460" s="1393"/>
      <c r="F460" s="1567" t="str">
        <f>0.02&amp;" . "&amp;J476&amp;" . "&amp;"["&amp;"("&amp;J468&amp;" - "&amp;J464&amp;")"&amp;"/"&amp;"("&amp;J470&amp;" . "&amp;J466&amp;")"&amp;" - "&amp;"0,05"&amp;" . "&amp;"("&amp;J472&amp;" - "&amp;J474&amp;")"&amp;"]"</f>
        <v>0,02 . 0,4207 . [(0 - 38760000)/(77614,7569949827 . 10) - 0,05 . (0 - 0)]</v>
      </c>
      <c r="G460" s="1567"/>
      <c r="H460" s="1567"/>
      <c r="I460" s="1567"/>
      <c r="J460" s="1567"/>
      <c r="K460" s="17" t="s">
        <v>4</v>
      </c>
      <c r="L460" s="13">
        <f>0.02*J476*(((J468-J464)/(J470*J466))-((0.05*(J472-J474))))</f>
        <v>-0.42018638288216537</v>
      </c>
      <c r="M460" s="13"/>
    </row>
    <row r="461" spans="1:14" x14ac:dyDescent="0.25">
      <c r="A461" s="4"/>
    </row>
    <row r="462" spans="1:14" x14ac:dyDescent="0.25">
      <c r="A462" s="8" t="s">
        <v>5</v>
      </c>
    </row>
    <row r="464" spans="1:14" x14ac:dyDescent="0.25">
      <c r="A464" s="4" t="s">
        <v>183</v>
      </c>
      <c r="B464" s="8" t="s">
        <v>338</v>
      </c>
      <c r="J464" s="126">
        <f>+'Hoja Llave'!M35</f>
        <v>38760000</v>
      </c>
    </row>
    <row r="465" spans="1:13" x14ac:dyDescent="0.25">
      <c r="A465" s="4"/>
      <c r="J465" s="20"/>
    </row>
    <row r="466" spans="1:13" x14ac:dyDescent="0.25">
      <c r="A466" s="4" t="s">
        <v>179</v>
      </c>
      <c r="B466" s="8" t="s">
        <v>312</v>
      </c>
      <c r="J466" s="126">
        <v>10</v>
      </c>
    </row>
    <row r="467" spans="1:13" x14ac:dyDescent="0.25">
      <c r="A467" s="4"/>
      <c r="J467" s="20"/>
    </row>
    <row r="468" spans="1:13" x14ac:dyDescent="0.25">
      <c r="A468" s="4" t="s">
        <v>303</v>
      </c>
      <c r="B468" s="8" t="s">
        <v>313</v>
      </c>
      <c r="J468" s="20">
        <f>+'Hoja Llave'!M56</f>
        <v>0</v>
      </c>
    </row>
    <row r="469" spans="1:13" x14ac:dyDescent="0.25">
      <c r="A469" s="4"/>
      <c r="J469" s="20"/>
    </row>
    <row r="470" spans="1:13" x14ac:dyDescent="0.25">
      <c r="A470" s="4" t="s">
        <v>329</v>
      </c>
      <c r="B470" s="8" t="s">
        <v>235</v>
      </c>
      <c r="J470" s="20">
        <f>+'Hoja Llave'!M33</f>
        <v>77614.756994982657</v>
      </c>
    </row>
    <row r="471" spans="1:13" x14ac:dyDescent="0.25">
      <c r="A471" s="4"/>
      <c r="J471" s="20"/>
    </row>
    <row r="472" spans="1:13" x14ac:dyDescent="0.25">
      <c r="A472" s="4" t="s">
        <v>301</v>
      </c>
      <c r="B472" s="8" t="s">
        <v>314</v>
      </c>
      <c r="J472" s="20">
        <f>+'Hoja Llave'!M55</f>
        <v>0</v>
      </c>
    </row>
    <row r="473" spans="1:13" x14ac:dyDescent="0.25">
      <c r="A473" s="4"/>
      <c r="J473" s="20"/>
    </row>
    <row r="474" spans="1:13" x14ac:dyDescent="0.25">
      <c r="A474" s="4" t="s">
        <v>315</v>
      </c>
      <c r="B474" s="8" t="s">
        <v>316</v>
      </c>
      <c r="J474" s="126">
        <f>+'Hoja Llave'!M58</f>
        <v>0</v>
      </c>
    </row>
    <row r="475" spans="1:13" x14ac:dyDescent="0.25">
      <c r="A475" s="4"/>
      <c r="J475" s="20"/>
    </row>
    <row r="476" spans="1:13" x14ac:dyDescent="0.25">
      <c r="A476" s="4" t="s">
        <v>193</v>
      </c>
      <c r="B476" s="8" t="s">
        <v>317</v>
      </c>
      <c r="J476" s="20">
        <f>+'Hoja Llave'!M41</f>
        <v>0.42070000000000002</v>
      </c>
    </row>
    <row r="477" spans="1:13" x14ac:dyDescent="0.25">
      <c r="A477" s="4"/>
      <c r="B477" s="8"/>
    </row>
    <row r="478" spans="1:13" x14ac:dyDescent="0.25">
      <c r="A478" s="4"/>
      <c r="B478" s="8"/>
    </row>
    <row r="479" spans="1:13" x14ac:dyDescent="0.25">
      <c r="A479" s="4" t="s">
        <v>318</v>
      </c>
      <c r="B479" s="1393" t="s">
        <v>341</v>
      </c>
      <c r="C479" s="1393"/>
      <c r="D479" s="1393"/>
      <c r="E479" s="1393"/>
      <c r="F479" s="1393" t="str">
        <f>0.02&amp;" . "&amp;J495&amp;" . "&amp;"["&amp;"("&amp;J487&amp;" - "&amp;J483&amp;")"&amp;"/"&amp;"("&amp;J489&amp;" . "&amp;J485&amp;")"&amp;" - "&amp;"0,05"&amp;" . "&amp;"("&amp;J491&amp;" - "&amp;J493&amp;")"&amp;"]"</f>
        <v>0,02 . 0,5793 . [(0 - 58520000)/(116245,869007801 . 10) - 0,05 . (0 - 0)]</v>
      </c>
      <c r="G479" s="1393"/>
      <c r="H479" s="1393"/>
      <c r="I479" s="1393"/>
      <c r="J479" s="1393"/>
      <c r="K479" s="8" t="s">
        <v>4</v>
      </c>
      <c r="L479" s="13">
        <f>0.02*J495*(((J487-J483)/(J489*J485))-((0.05*(J491-J493))))</f>
        <v>-0.58325747468453948</v>
      </c>
      <c r="M479" s="13"/>
    </row>
    <row r="480" spans="1:13" x14ac:dyDescent="0.25">
      <c r="A480" s="4"/>
    </row>
    <row r="481" spans="1:13" x14ac:dyDescent="0.25">
      <c r="A481" s="8" t="s">
        <v>5</v>
      </c>
    </row>
    <row r="483" spans="1:13" s="19" customFormat="1" x14ac:dyDescent="0.25">
      <c r="A483" s="61" t="s">
        <v>319</v>
      </c>
      <c r="B483" s="47" t="s">
        <v>339</v>
      </c>
      <c r="F483" s="46"/>
      <c r="J483" s="126">
        <f>+'Hoja Llave'!M36</f>
        <v>58520000</v>
      </c>
      <c r="M483" s="20"/>
    </row>
    <row r="484" spans="1:13" x14ac:dyDescent="0.25">
      <c r="A484" s="4"/>
      <c r="J484" s="20"/>
    </row>
    <row r="485" spans="1:13" x14ac:dyDescent="0.25">
      <c r="A485" s="4" t="s">
        <v>179</v>
      </c>
      <c r="B485" s="8" t="s">
        <v>312</v>
      </c>
      <c r="J485" s="126">
        <f>+'Hoja Llave'!M24</f>
        <v>10</v>
      </c>
    </row>
    <row r="486" spans="1:13" x14ac:dyDescent="0.25">
      <c r="A486" s="4"/>
      <c r="J486" s="20"/>
    </row>
    <row r="487" spans="1:13" x14ac:dyDescent="0.25">
      <c r="A487" s="4" t="s">
        <v>306</v>
      </c>
      <c r="B487" s="8" t="s">
        <v>320</v>
      </c>
      <c r="J487" s="20">
        <f>+'Hoja Llave'!M57</f>
        <v>0</v>
      </c>
    </row>
    <row r="488" spans="1:13" x14ac:dyDescent="0.25">
      <c r="A488" s="4"/>
      <c r="J488" s="20"/>
    </row>
    <row r="489" spans="1:13" x14ac:dyDescent="0.25">
      <c r="A489" s="4" t="s">
        <v>234</v>
      </c>
      <c r="B489" s="8" t="s">
        <v>236</v>
      </c>
      <c r="J489" s="20">
        <f>+'Hoja Llave'!M34</f>
        <v>116245.86900780138</v>
      </c>
    </row>
    <row r="490" spans="1:13" x14ac:dyDescent="0.25">
      <c r="A490" s="4"/>
      <c r="J490" s="20"/>
    </row>
    <row r="491" spans="1:13" x14ac:dyDescent="0.25">
      <c r="A491" s="4" t="s">
        <v>301</v>
      </c>
      <c r="B491" s="8" t="s">
        <v>314</v>
      </c>
      <c r="J491" s="20">
        <f>+'Hoja Llave'!M55</f>
        <v>0</v>
      </c>
    </row>
    <row r="492" spans="1:13" x14ac:dyDescent="0.25">
      <c r="A492" s="4"/>
      <c r="J492" s="20"/>
    </row>
    <row r="493" spans="1:13" x14ac:dyDescent="0.25">
      <c r="A493" s="4" t="s">
        <v>315</v>
      </c>
      <c r="B493" s="8" t="s">
        <v>316</v>
      </c>
      <c r="J493" s="126">
        <f>+'Hoja Llave'!M58</f>
        <v>0</v>
      </c>
    </row>
    <row r="494" spans="1:13" x14ac:dyDescent="0.25">
      <c r="A494" s="4"/>
      <c r="J494" s="20"/>
    </row>
    <row r="495" spans="1:13" x14ac:dyDescent="0.25">
      <c r="A495" s="4" t="s">
        <v>203</v>
      </c>
      <c r="B495" s="8" t="s">
        <v>321</v>
      </c>
      <c r="J495" s="20">
        <f>+'Hoja Llave'!M42</f>
        <v>0.57930000000000004</v>
      </c>
    </row>
    <row r="496" spans="1:13" x14ac:dyDescent="0.25">
      <c r="A496" s="4"/>
      <c r="B496" s="8"/>
    </row>
    <row r="497" spans="1:14" x14ac:dyDescent="0.25">
      <c r="A497" s="4"/>
      <c r="B497" s="8"/>
    </row>
    <row r="498" spans="1:14" s="2" customFormat="1" x14ac:dyDescent="0.25">
      <c r="A498" s="4" t="s">
        <v>322</v>
      </c>
      <c r="B498" s="1393" t="s">
        <v>323</v>
      </c>
      <c r="C498" s="1393"/>
      <c r="D498" s="1393"/>
      <c r="E498" s="1393"/>
      <c r="F498" s="4" t="s">
        <v>4</v>
      </c>
      <c r="G498" s="1393" t="str">
        <f>+ROUND(L460,4)&amp;" + "&amp;ROUND(L479,4)</f>
        <v>-0,4202 + -0,5833</v>
      </c>
      <c r="H498" s="1393"/>
      <c r="I498" s="1393"/>
      <c r="J498" s="13" t="s">
        <v>4</v>
      </c>
      <c r="M498" s="127">
        <f>+L460+L479</f>
        <v>-1.0034438575667048</v>
      </c>
    </row>
    <row r="499" spans="1:14" x14ac:dyDescent="0.25">
      <c r="A499" s="4"/>
    </row>
    <row r="500" spans="1:14" s="2" customFormat="1" ht="17.399999999999999" x14ac:dyDescent="0.3">
      <c r="A500" s="147" t="s">
        <v>117</v>
      </c>
      <c r="B500" s="148" t="s">
        <v>118</v>
      </c>
      <c r="C500" s="148"/>
      <c r="D500" s="148"/>
      <c r="E500" s="148"/>
      <c r="F500" s="149" t="s">
        <v>119</v>
      </c>
      <c r="G500" s="148"/>
      <c r="H500" s="148"/>
      <c r="I500" s="148"/>
      <c r="J500" s="150"/>
      <c r="K500" s="148"/>
      <c r="L500" s="148"/>
      <c r="M500" s="152">
        <f>+M504</f>
        <v>0</v>
      </c>
      <c r="N500" s="174" t="s">
        <v>462</v>
      </c>
    </row>
    <row r="502" spans="1:14" x14ac:dyDescent="0.25">
      <c r="A502" s="8" t="s">
        <v>120</v>
      </c>
    </row>
    <row r="504" spans="1:14" s="2" customFormat="1" x14ac:dyDescent="0.25">
      <c r="A504" s="4" t="s">
        <v>121</v>
      </c>
      <c r="B504" s="1393" t="s">
        <v>122</v>
      </c>
      <c r="C504" s="1393"/>
      <c r="D504" s="4" t="s">
        <v>4</v>
      </c>
      <c r="E504" s="1393" t="str">
        <f>0.1&amp;" . "&amp;ROUND(M414,4)</f>
        <v>0,1 . 0</v>
      </c>
      <c r="F504" s="1393"/>
      <c r="G504" s="1393"/>
      <c r="H504" s="1393"/>
      <c r="I504" s="4" t="s">
        <v>4</v>
      </c>
      <c r="J504" s="13"/>
      <c r="M504" s="175">
        <f>0.1*M414</f>
        <v>0</v>
      </c>
    </row>
    <row r="507" spans="1:14" s="2" customFormat="1" ht="17.399999999999999" x14ac:dyDescent="0.3">
      <c r="A507" s="147" t="s">
        <v>123</v>
      </c>
      <c r="B507" s="148" t="s">
        <v>124</v>
      </c>
      <c r="C507" s="148"/>
      <c r="D507" s="148"/>
      <c r="E507" s="148"/>
      <c r="F507" s="149" t="s">
        <v>129</v>
      </c>
      <c r="G507" s="148"/>
      <c r="H507" s="148"/>
      <c r="I507" s="148"/>
      <c r="J507" s="150"/>
      <c r="K507" s="148"/>
      <c r="L507" s="148"/>
      <c r="M507" s="152">
        <f>+M511</f>
        <v>4.2315370401249135</v>
      </c>
      <c r="N507" s="174" t="s">
        <v>462</v>
      </c>
    </row>
    <row r="509" spans="1:14" x14ac:dyDescent="0.25">
      <c r="A509" s="8" t="s">
        <v>125</v>
      </c>
    </row>
    <row r="511" spans="1:14" s="2" customFormat="1" x14ac:dyDescent="0.25">
      <c r="A511" s="21" t="s">
        <v>126</v>
      </c>
      <c r="B511" s="1400" t="s">
        <v>127</v>
      </c>
      <c r="C511" s="1400"/>
      <c r="D511" s="1389" t="s">
        <v>4</v>
      </c>
      <c r="E511" s="1401">
        <f>+J516</f>
        <v>423127.3</v>
      </c>
      <c r="F511" s="1401"/>
      <c r="G511" s="1401"/>
      <c r="H511" s="1401"/>
      <c r="I511" s="1389" t="s">
        <v>4</v>
      </c>
      <c r="J511" s="13"/>
      <c r="M511" s="127">
        <f>+E511/((J522*J520)+(J518*J524))</f>
        <v>4.2315370401249135</v>
      </c>
    </row>
    <row r="512" spans="1:14" s="2" customFormat="1" x14ac:dyDescent="0.25">
      <c r="A512" s="21"/>
      <c r="B512" s="1389" t="s">
        <v>324</v>
      </c>
      <c r="C512" s="1389"/>
      <c r="D512" s="1389"/>
      <c r="E512" s="1396" t="str">
        <f>+J522&amp;" . "&amp;J520&amp;" + "&amp;J524&amp;" . "&amp;J518</f>
        <v>77614,7569949827 . 0,4207 + 116245,869007801 . 0,5793</v>
      </c>
      <c r="F512" s="1396"/>
      <c r="G512" s="1396"/>
      <c r="H512" s="1396"/>
      <c r="I512" s="1389"/>
      <c r="J512" s="13"/>
      <c r="M512" s="13"/>
    </row>
    <row r="514" spans="1:13" x14ac:dyDescent="0.25">
      <c r="A514" s="8" t="s">
        <v>5</v>
      </c>
    </row>
    <row r="516" spans="1:13" x14ac:dyDescent="0.25">
      <c r="A516" s="2" t="s">
        <v>127</v>
      </c>
      <c r="B516" s="8" t="s">
        <v>325</v>
      </c>
      <c r="J516" s="126">
        <f>+'Hoja Llave'!M25</f>
        <v>423127.3</v>
      </c>
    </row>
    <row r="518" spans="1:13" x14ac:dyDescent="0.25">
      <c r="A518" s="2" t="s">
        <v>203</v>
      </c>
      <c r="B518" s="8" t="s">
        <v>206</v>
      </c>
      <c r="J518" s="10">
        <f>+'Hoja Llave'!M42</f>
        <v>0.57930000000000004</v>
      </c>
    </row>
    <row r="520" spans="1:13" x14ac:dyDescent="0.25">
      <c r="A520" s="2" t="s">
        <v>193</v>
      </c>
      <c r="B520" s="8" t="s">
        <v>194</v>
      </c>
      <c r="J520" s="10">
        <f>+'Hoja Llave'!M41</f>
        <v>0.42070000000000002</v>
      </c>
    </row>
    <row r="522" spans="1:13" x14ac:dyDescent="0.25">
      <c r="A522" s="2" t="s">
        <v>333</v>
      </c>
      <c r="B522" s="8" t="s">
        <v>326</v>
      </c>
      <c r="J522" s="10">
        <f>+'Hoja Llave'!M33</f>
        <v>77614.756994982657</v>
      </c>
    </row>
    <row r="524" spans="1:13" x14ac:dyDescent="0.25">
      <c r="A524" s="2" t="s">
        <v>234</v>
      </c>
      <c r="B524" s="8" t="s">
        <v>327</v>
      </c>
      <c r="J524" s="10">
        <f>+'Hoja Llave'!M34</f>
        <v>116245.86900780138</v>
      </c>
    </row>
    <row r="526" spans="1:13" s="2" customFormat="1" x14ac:dyDescent="0.25">
      <c r="A526" s="4" t="s">
        <v>164</v>
      </c>
      <c r="B526" s="1393" t="s">
        <v>130</v>
      </c>
      <c r="C526" s="1393"/>
      <c r="E526" s="1393" t="str">
        <f>+ROUND(M498,4)&amp;" + "&amp;ROUND(M504,4)&amp;" + "&amp;ROUND(M511,4)</f>
        <v>-1,0034 + 0 + 4,2315</v>
      </c>
      <c r="F526" s="1393"/>
      <c r="G526" s="1393"/>
      <c r="H526" s="1393"/>
      <c r="I526" s="4" t="s">
        <v>4</v>
      </c>
      <c r="J526" s="13"/>
      <c r="M526" s="127">
        <f>+M511+M504+M498</f>
        <v>3.2280931825582089</v>
      </c>
    </row>
    <row r="529" spans="1:14" s="2" customFormat="1" ht="17.399999999999999" x14ac:dyDescent="0.3">
      <c r="A529" s="147" t="s">
        <v>131</v>
      </c>
      <c r="B529" s="148" t="s">
        <v>132</v>
      </c>
      <c r="C529" s="148"/>
      <c r="D529" s="148"/>
      <c r="E529" s="148"/>
      <c r="F529" s="149" t="s">
        <v>153</v>
      </c>
      <c r="G529" s="148"/>
      <c r="H529" s="148"/>
      <c r="I529" s="148"/>
      <c r="J529" s="150"/>
      <c r="K529" s="148"/>
      <c r="L529" s="148"/>
      <c r="M529" s="152">
        <f>+M531</f>
        <v>42.224526821982728</v>
      </c>
      <c r="N529" s="174" t="s">
        <v>462</v>
      </c>
    </row>
    <row r="531" spans="1:14" s="2" customFormat="1" x14ac:dyDescent="0.25">
      <c r="A531" s="4" t="s">
        <v>133</v>
      </c>
      <c r="B531" s="2" t="s">
        <v>138</v>
      </c>
      <c r="E531" s="1393" t="str">
        <f>0.03&amp;" . "&amp;"("&amp;ROUND(M183,4)&amp;" + "&amp;ROUND(M322,4)&amp;" + "&amp;ROUND(M447,4)&amp;" + "&amp;ROUND(M526,4)&amp;")"</f>
        <v>0,03 . (1091,7083 + 297,9137 + 14,6342 + 3,2281)</v>
      </c>
      <c r="F531" s="1393"/>
      <c r="G531" s="1393"/>
      <c r="H531" s="1393"/>
      <c r="I531" s="1393"/>
      <c r="J531" s="14" t="s">
        <v>4</v>
      </c>
      <c r="M531" s="127">
        <f>0.03*(M183+M322+M447+M526)</f>
        <v>42.224526821982728</v>
      </c>
    </row>
    <row r="532" spans="1:14" x14ac:dyDescent="0.25">
      <c r="M532" s="20"/>
    </row>
    <row r="533" spans="1:14" x14ac:dyDescent="0.25">
      <c r="M533" s="20"/>
    </row>
    <row r="534" spans="1:14" s="2" customFormat="1" ht="17.399999999999999" x14ac:dyDescent="0.3">
      <c r="A534" s="147" t="s">
        <v>134</v>
      </c>
      <c r="B534" s="148" t="s">
        <v>135</v>
      </c>
      <c r="C534" s="148"/>
      <c r="D534" s="148"/>
      <c r="E534" s="148"/>
      <c r="F534" s="149" t="s">
        <v>152</v>
      </c>
      <c r="G534" s="148"/>
      <c r="H534" s="148"/>
      <c r="I534" s="148"/>
      <c r="J534" s="150"/>
      <c r="K534" s="148"/>
      <c r="L534" s="148"/>
      <c r="M534" s="152">
        <f>+M536</f>
        <v>144.97087542214069</v>
      </c>
      <c r="N534" s="174" t="s">
        <v>462</v>
      </c>
    </row>
    <row r="535" spans="1:14" x14ac:dyDescent="0.25">
      <c r="A535" s="4"/>
      <c r="M535" s="20"/>
    </row>
    <row r="536" spans="1:14" s="2" customFormat="1" x14ac:dyDescent="0.25">
      <c r="A536" s="4" t="s">
        <v>136</v>
      </c>
      <c r="B536" s="2" t="s">
        <v>137</v>
      </c>
      <c r="E536" s="1393" t="str">
        <f>0.1&amp;" . "&amp;"("&amp;ROUND(M183,4)&amp;" + "&amp;ROUND(M322,4)&amp;" + "&amp;ROUND(M447,4)&amp;" + "&amp;ROUND(M526,4)&amp;" + "&amp;ROUND(M531,4)&amp;")"</f>
        <v>0,1 . (1091,7083 + 297,9137 + 14,6342 + 3,2281 + 42,2245)</v>
      </c>
      <c r="F536" s="1393"/>
      <c r="G536" s="1393"/>
      <c r="H536" s="1393"/>
      <c r="I536" s="1393"/>
      <c r="J536" s="50" t="s">
        <v>4</v>
      </c>
      <c r="M536" s="127">
        <f>0.1*(M183+M322+M447+M526+M531)</f>
        <v>144.97087542214069</v>
      </c>
    </row>
    <row r="537" spans="1:14" x14ac:dyDescent="0.25">
      <c r="M537" s="20"/>
    </row>
    <row r="538" spans="1:14" x14ac:dyDescent="0.25">
      <c r="M538" s="20"/>
    </row>
    <row r="539" spans="1:14" s="2" customFormat="1" ht="17.399999999999999" x14ac:dyDescent="0.3">
      <c r="A539" s="147" t="s">
        <v>139</v>
      </c>
      <c r="B539" s="148" t="s">
        <v>140</v>
      </c>
      <c r="C539" s="148"/>
      <c r="D539" s="148"/>
      <c r="E539" s="148"/>
      <c r="F539" s="149" t="s">
        <v>151</v>
      </c>
      <c r="G539" s="148"/>
      <c r="H539" s="148"/>
      <c r="I539" s="148"/>
      <c r="J539" s="150"/>
      <c r="K539" s="148"/>
      <c r="L539" s="148"/>
      <c r="M539" s="152">
        <f>+M567</f>
        <v>0</v>
      </c>
      <c r="N539" s="174" t="s">
        <v>462</v>
      </c>
    </row>
    <row r="540" spans="1:14" x14ac:dyDescent="0.25">
      <c r="M540" s="20"/>
    </row>
    <row r="541" spans="1:14" s="2" customFormat="1" x14ac:dyDescent="0.25">
      <c r="A541" s="4" t="s">
        <v>141</v>
      </c>
      <c r="B541" s="2" t="s">
        <v>142</v>
      </c>
      <c r="E541" s="1393" t="str">
        <f>+K545&amp;" . "&amp;"("&amp;ROUND(M183,4)&amp;" + "&amp;ROUND(M322,4)&amp;" + "&amp;ROUND(M447,4)&amp;" + "&amp;ROUND(M526,4)&amp;" + "&amp;ROUND(M531,4)&amp;" + "&amp;ROUND(M536,4)&amp;")"</f>
        <v>0 . (1091,7083 + 297,9137 + 14,6342 + 3,2281 + 42,2245 + 144,9709)</v>
      </c>
      <c r="F541" s="1393"/>
      <c r="G541" s="1393"/>
      <c r="H541" s="1393"/>
      <c r="I541" s="1393"/>
      <c r="J541" s="1393"/>
      <c r="K541" s="4" t="s">
        <v>4</v>
      </c>
      <c r="M541" s="127">
        <f>+K545*(M183+M322+M447+M526+M531+M536)</f>
        <v>0</v>
      </c>
    </row>
    <row r="542" spans="1:14" x14ac:dyDescent="0.25">
      <c r="M542" s="20"/>
    </row>
    <row r="543" spans="1:14" x14ac:dyDescent="0.25">
      <c r="A543" s="8" t="s">
        <v>5</v>
      </c>
      <c r="M543" s="20"/>
    </row>
    <row r="544" spans="1:14" x14ac:dyDescent="0.25">
      <c r="M544" s="20"/>
    </row>
    <row r="545" spans="1:13" x14ac:dyDescent="0.25">
      <c r="A545" s="2" t="s">
        <v>143</v>
      </c>
      <c r="B545" s="8" t="s">
        <v>385</v>
      </c>
      <c r="K545" s="176">
        <f>+'Hoja Llave'!M26</f>
        <v>0</v>
      </c>
      <c r="M545" s="20"/>
    </row>
    <row r="546" spans="1:13" x14ac:dyDescent="0.25">
      <c r="B546" s="8" t="s">
        <v>343</v>
      </c>
      <c r="M546" s="20"/>
    </row>
    <row r="547" spans="1:13" x14ac:dyDescent="0.25">
      <c r="B547" s="8"/>
      <c r="M547" s="20"/>
    </row>
    <row r="548" spans="1:13" s="2" customFormat="1" x14ac:dyDescent="0.25">
      <c r="A548" s="2" t="s">
        <v>344</v>
      </c>
      <c r="B548" s="1390" t="s">
        <v>348</v>
      </c>
      <c r="C548" s="1390"/>
      <c r="D548" s="1390"/>
      <c r="E548" s="1390" t="str">
        <f>+J552&amp;" . "&amp;"("&amp;J556&amp;" . "&amp;"("&amp;"("&amp;"0,70"&amp;" . "&amp;"41"&amp;")"&amp;" + "&amp;"("&amp;"0,30"&amp;" . "&amp;"45"&amp;")"&amp;")"&amp;")"</f>
        <v>0 . (0,4207 . ((0,70 . 41) + (0,30 . 45)))</v>
      </c>
      <c r="F548" s="1390"/>
      <c r="G548" s="1390"/>
      <c r="H548" s="1390"/>
      <c r="I548" s="1390"/>
      <c r="J548" s="13" t="s">
        <v>4</v>
      </c>
      <c r="M548" s="127">
        <f>+(J552*(J556*((0.7*0.41)+(0.3*45))))/J554</f>
        <v>0</v>
      </c>
    </row>
    <row r="549" spans="1:13" s="2" customFormat="1" x14ac:dyDescent="0.25">
      <c r="B549" s="1393" t="s">
        <v>333</v>
      </c>
      <c r="C549" s="1393"/>
      <c r="E549" s="1399">
        <f>+J554</f>
        <v>77614.756994982657</v>
      </c>
      <c r="F549" s="1399"/>
      <c r="G549" s="1399"/>
      <c r="H549" s="1399"/>
      <c r="I549" s="1399"/>
      <c r="J549" s="13"/>
      <c r="M549" s="127"/>
    </row>
    <row r="550" spans="1:13" x14ac:dyDescent="0.25">
      <c r="A550" s="8" t="s">
        <v>5</v>
      </c>
      <c r="B550" s="8"/>
    </row>
    <row r="551" spans="1:13" x14ac:dyDescent="0.25">
      <c r="B551" s="8"/>
    </row>
    <row r="552" spans="1:13" x14ac:dyDescent="0.25">
      <c r="A552" s="2" t="s">
        <v>345</v>
      </c>
      <c r="B552" s="8" t="s">
        <v>346</v>
      </c>
      <c r="J552" s="126">
        <f>+'Hoja Llave'!M59</f>
        <v>0</v>
      </c>
    </row>
    <row r="553" spans="1:13" x14ac:dyDescent="0.25">
      <c r="B553" s="8"/>
    </row>
    <row r="554" spans="1:13" x14ac:dyDescent="0.25">
      <c r="A554" s="2" t="s">
        <v>333</v>
      </c>
      <c r="B554" s="8" t="s">
        <v>235</v>
      </c>
      <c r="J554" s="10">
        <f>+'Hoja Llave'!M33</f>
        <v>77614.756994982657</v>
      </c>
    </row>
    <row r="555" spans="1:13" x14ac:dyDescent="0.25">
      <c r="B555" s="8"/>
    </row>
    <row r="556" spans="1:13" x14ac:dyDescent="0.25">
      <c r="A556" s="2" t="s">
        <v>193</v>
      </c>
      <c r="B556" s="8" t="s">
        <v>194</v>
      </c>
      <c r="J556" s="10">
        <f>+'Hoja Llave'!M41</f>
        <v>0.42070000000000002</v>
      </c>
    </row>
    <row r="557" spans="1:13" x14ac:dyDescent="0.25">
      <c r="B557" s="8"/>
    </row>
    <row r="558" spans="1:13" x14ac:dyDescent="0.25">
      <c r="B558" s="8"/>
    </row>
    <row r="559" spans="1:13" s="2" customFormat="1" x14ac:dyDescent="0.25">
      <c r="A559" s="2" t="s">
        <v>347</v>
      </c>
      <c r="B559" s="53" t="s">
        <v>349</v>
      </c>
      <c r="C559" s="53"/>
      <c r="D559" s="25"/>
      <c r="E559" s="1390" t="str">
        <f>+J561&amp;" . "&amp;"("&amp;J565&amp;" . "&amp;"("&amp;"("&amp;"0,15"&amp;" . "&amp;"41"&amp;")"&amp;" + "&amp;"("&amp;"0,45"&amp;" . "&amp;"45"&amp;")"&amp;" + "&amp;"("&amp;"0,40"&amp;" . "&amp;"50"&amp;")"&amp;")"&amp;")"</f>
        <v>0 . (0,5793 . ((0,15 . 41) + (0,45 . 45) + (0,40 . 50)))</v>
      </c>
      <c r="F559" s="1390"/>
      <c r="G559" s="1390"/>
      <c r="H559" s="1390"/>
      <c r="I559" s="1390"/>
      <c r="J559" s="13" t="s">
        <v>4</v>
      </c>
      <c r="M559" s="127">
        <f>+(J561*(J565*((0.15*0.41)+(0.45*45)+(0.4*50))))/J563</f>
        <v>0</v>
      </c>
    </row>
    <row r="560" spans="1:13" s="2" customFormat="1" x14ac:dyDescent="0.25">
      <c r="B560" s="1402" t="s">
        <v>334</v>
      </c>
      <c r="C560" s="1402"/>
      <c r="D560" s="1402"/>
      <c r="E560" s="1399">
        <f>+J563</f>
        <v>116245.86900780138</v>
      </c>
      <c r="F560" s="1399"/>
      <c r="G560" s="1399"/>
      <c r="H560" s="1399"/>
      <c r="I560" s="1399"/>
      <c r="J560" s="13"/>
      <c r="M560" s="13"/>
    </row>
    <row r="561" spans="1:14" x14ac:dyDescent="0.25">
      <c r="A561" s="2" t="s">
        <v>345</v>
      </c>
      <c r="B561" s="8" t="s">
        <v>346</v>
      </c>
      <c r="J561" s="10">
        <f>+'Hoja Llave'!M59</f>
        <v>0</v>
      </c>
    </row>
    <row r="562" spans="1:14" x14ac:dyDescent="0.25">
      <c r="B562" s="8"/>
    </row>
    <row r="563" spans="1:14" x14ac:dyDescent="0.25">
      <c r="A563" s="2" t="s">
        <v>234</v>
      </c>
      <c r="B563" s="8" t="s">
        <v>236</v>
      </c>
      <c r="J563" s="10">
        <f>+'Hoja Llave'!M34</f>
        <v>116245.86900780138</v>
      </c>
    </row>
    <row r="564" spans="1:14" x14ac:dyDescent="0.25">
      <c r="B564" s="8"/>
    </row>
    <row r="565" spans="1:14" x14ac:dyDescent="0.25">
      <c r="A565" s="2" t="s">
        <v>203</v>
      </c>
      <c r="B565" s="8" t="s">
        <v>206</v>
      </c>
      <c r="J565" s="10">
        <f>+'Hoja Llave'!M42</f>
        <v>0.57930000000000004</v>
      </c>
    </row>
    <row r="566" spans="1:14" x14ac:dyDescent="0.25">
      <c r="B566" s="8"/>
    </row>
    <row r="567" spans="1:14" s="2" customFormat="1" x14ac:dyDescent="0.25">
      <c r="A567" s="2" t="s">
        <v>350</v>
      </c>
      <c r="B567" s="1393" t="s">
        <v>351</v>
      </c>
      <c r="C567" s="1393"/>
      <c r="D567" s="1393"/>
      <c r="E567" s="2" t="s">
        <v>4</v>
      </c>
      <c r="F567" s="1393" t="str">
        <f>+ROUND(M541,4)&amp;" + "&amp;ROUND(M548,4)&amp;" + "&amp;ROUND(M559,4)</f>
        <v>0 + 0 + 0</v>
      </c>
      <c r="G567" s="1393"/>
      <c r="H567" s="1393"/>
      <c r="I567" s="1393"/>
      <c r="J567" s="13" t="s">
        <v>4</v>
      </c>
      <c r="M567" s="127">
        <f>+M559+M548+M541</f>
        <v>0</v>
      </c>
    </row>
    <row r="568" spans="1:14" x14ac:dyDescent="0.25">
      <c r="B568" s="8"/>
    </row>
    <row r="569" spans="1:14" x14ac:dyDescent="0.25">
      <c r="B569" s="8"/>
    </row>
    <row r="570" spans="1:14" s="2" customFormat="1" ht="17.399999999999999" x14ac:dyDescent="0.3">
      <c r="A570" s="169" t="s">
        <v>144</v>
      </c>
      <c r="B570" s="169" t="s">
        <v>145</v>
      </c>
      <c r="C570" s="169"/>
      <c r="D570" s="169"/>
      <c r="E570" s="1564" t="str">
        <f>+ROUND(M526,4)&amp;" + "&amp;ROUND(M531,4)&amp;" + "&amp;ROUND(M536,4)&amp;" + "&amp;ROUND(M567,4)</f>
        <v>3,2281 + 42,2245 + 144,9709 + 0</v>
      </c>
      <c r="F570" s="1564"/>
      <c r="G570" s="1564"/>
      <c r="H570" s="1564"/>
      <c r="I570" s="1564"/>
      <c r="J570" s="170" t="s">
        <v>4</v>
      </c>
      <c r="K570" s="169"/>
      <c r="L570" s="169"/>
      <c r="M570" s="172">
        <f>+M526+M531+M536+M567</f>
        <v>190.42349542668163</v>
      </c>
      <c r="N570" s="177" t="s">
        <v>462</v>
      </c>
    </row>
    <row r="573" spans="1:14" s="2" customFormat="1" x14ac:dyDescent="0.25">
      <c r="A573" s="5" t="s">
        <v>150</v>
      </c>
      <c r="B573" s="6"/>
      <c r="C573" s="6"/>
      <c r="D573" s="6"/>
      <c r="E573" s="6"/>
      <c r="F573" s="7"/>
      <c r="G573" s="6"/>
      <c r="H573" s="6"/>
      <c r="I573" s="6"/>
      <c r="J573" s="18"/>
      <c r="K573" s="6"/>
      <c r="L573" s="6"/>
      <c r="M573" s="11"/>
    </row>
    <row r="575" spans="1:14" x14ac:dyDescent="0.25">
      <c r="A575" s="8" t="s">
        <v>146</v>
      </c>
    </row>
    <row r="577" spans="1:17" s="2" customFormat="1" ht="17.399999999999999" x14ac:dyDescent="0.3">
      <c r="A577" s="169" t="s">
        <v>147</v>
      </c>
      <c r="B577" s="1565" t="s">
        <v>165</v>
      </c>
      <c r="C577" s="1565"/>
      <c r="D577" s="182" t="s">
        <v>4</v>
      </c>
      <c r="E577" s="1566" t="str">
        <f>+ROUND(M183,4)&amp;" + "&amp;ROUND(M322,4)&amp;" + "&amp;ROUND(M447,4)&amp;" + "&amp;ROUND(M570,4)</f>
        <v>1091,7083 + 297,9137 + 14,6342 + 190,4235</v>
      </c>
      <c r="F577" s="1566"/>
      <c r="G577" s="1566"/>
      <c r="H577" s="1566"/>
      <c r="I577" s="182" t="s">
        <v>4</v>
      </c>
      <c r="J577" s="172"/>
      <c r="K577" s="169"/>
      <c r="L577" s="169"/>
      <c r="M577" s="171">
        <f>+M183+M322+M447+M570</f>
        <v>1594.6796296435477</v>
      </c>
      <c r="N577" s="177" t="s">
        <v>462</v>
      </c>
    </row>
    <row r="579" spans="1:17" x14ac:dyDescent="0.25">
      <c r="Q579" s="8"/>
    </row>
    <row r="580" spans="1:17" s="2" customFormat="1" x14ac:dyDescent="0.25">
      <c r="A580" s="5" t="s">
        <v>352</v>
      </c>
      <c r="B580" s="6"/>
      <c r="C580" s="6"/>
      <c r="D580" s="6"/>
      <c r="E580" s="6"/>
      <c r="F580" s="7" t="s">
        <v>353</v>
      </c>
      <c r="G580" s="6"/>
      <c r="H580" s="6"/>
      <c r="I580" s="6"/>
      <c r="J580" s="18"/>
      <c r="K580" s="6"/>
      <c r="L580" s="6"/>
      <c r="M580" s="11"/>
    </row>
    <row r="582" spans="1:17" s="2" customFormat="1" x14ac:dyDescent="0.25">
      <c r="A582" s="1389" t="s">
        <v>354</v>
      </c>
      <c r="B582" s="1390" t="s">
        <v>355</v>
      </c>
      <c r="C582" s="1390"/>
      <c r="D582" s="1389"/>
      <c r="E582" s="1391">
        <f>+J587</f>
        <v>0</v>
      </c>
      <c r="F582" s="1391"/>
      <c r="G582" s="1391"/>
      <c r="H582" s="1391"/>
      <c r="I582" s="1389" t="s">
        <v>4</v>
      </c>
      <c r="J582" s="13"/>
      <c r="M582" s="23" t="e">
        <f>+J587/(J589*J591)</f>
        <v>#DIV/0!</v>
      </c>
      <c r="Q582" s="69"/>
    </row>
    <row r="583" spans="1:17" s="2" customFormat="1" x14ac:dyDescent="0.25">
      <c r="A583" s="1389"/>
      <c r="B583" s="1393" t="s">
        <v>361</v>
      </c>
      <c r="C583" s="1393"/>
      <c r="D583" s="1389"/>
      <c r="E583" s="1395" t="str">
        <f>+J589&amp;" . "&amp;ROUND(J591,4)</f>
        <v>6848483 . 0</v>
      </c>
      <c r="F583" s="1395"/>
      <c r="G583" s="1395"/>
      <c r="H583" s="1395"/>
      <c r="I583" s="1389"/>
      <c r="J583" s="13"/>
      <c r="M583" s="13"/>
      <c r="O583" s="12"/>
      <c r="Q583" s="69"/>
    </row>
    <row r="584" spans="1:17" x14ac:dyDescent="0.25">
      <c r="O584" s="67"/>
      <c r="P584" s="2"/>
      <c r="Q584" s="69"/>
    </row>
    <row r="585" spans="1:17" x14ac:dyDescent="0.25">
      <c r="A585" s="8" t="s">
        <v>5</v>
      </c>
      <c r="P585" s="9"/>
    </row>
    <row r="586" spans="1:17" x14ac:dyDescent="0.25">
      <c r="P586" s="9"/>
    </row>
    <row r="587" spans="1:17" x14ac:dyDescent="0.25">
      <c r="A587" s="2" t="s">
        <v>355</v>
      </c>
      <c r="B587" s="8" t="s">
        <v>357</v>
      </c>
      <c r="J587" s="10">
        <f>+'Hoja Llave'!M60</f>
        <v>0</v>
      </c>
      <c r="P587" s="64"/>
    </row>
    <row r="589" spans="1:17" x14ac:dyDescent="0.25">
      <c r="A589" s="2" t="s">
        <v>180</v>
      </c>
      <c r="B589" s="8" t="s">
        <v>181</v>
      </c>
      <c r="J589" s="10">
        <f>+'Hoja Llave'!M27</f>
        <v>6848483</v>
      </c>
    </row>
    <row r="591" spans="1:17" x14ac:dyDescent="0.25">
      <c r="A591" s="2" t="s">
        <v>356</v>
      </c>
      <c r="B591" s="8" t="s">
        <v>358</v>
      </c>
      <c r="J591" s="10">
        <f>+'Hoja Llave'!M61</f>
        <v>0</v>
      </c>
    </row>
    <row r="594" spans="1:16" s="2" customFormat="1" x14ac:dyDescent="0.25">
      <c r="A594" s="5" t="s">
        <v>148</v>
      </c>
      <c r="B594" s="6"/>
      <c r="C594" s="6"/>
      <c r="D594" s="6"/>
      <c r="E594" s="6"/>
      <c r="F594" s="7" t="s">
        <v>149</v>
      </c>
      <c r="G594" s="6"/>
      <c r="H594" s="6"/>
      <c r="I594" s="6"/>
      <c r="J594" s="18"/>
      <c r="K594" s="6"/>
      <c r="L594" s="6"/>
      <c r="M594" s="11"/>
    </row>
    <row r="595" spans="1:16" s="2" customFormat="1" x14ac:dyDescent="0.25">
      <c r="F595" s="4"/>
      <c r="J595" s="13"/>
      <c r="M595" s="13"/>
    </row>
    <row r="596" spans="1:16" s="2" customFormat="1" x14ac:dyDescent="0.25">
      <c r="F596" s="4"/>
      <c r="J596" s="13"/>
      <c r="M596" s="13"/>
    </row>
    <row r="597" spans="1:16" s="2" customFormat="1" ht="17.399999999999999" x14ac:dyDescent="0.3">
      <c r="A597" s="2" t="s">
        <v>154</v>
      </c>
      <c r="B597" s="1390" t="s">
        <v>398</v>
      </c>
      <c r="C597" s="1390"/>
      <c r="D597" s="1389" t="s">
        <v>4</v>
      </c>
      <c r="E597" s="1392">
        <f>M577</f>
        <v>1594.6796296435477</v>
      </c>
      <c r="F597" s="1392"/>
      <c r="G597" s="1392"/>
      <c r="H597" s="1392"/>
      <c r="I597" s="1389" t="s">
        <v>4</v>
      </c>
      <c r="J597" s="13" t="e">
        <f>+E597/E598</f>
        <v>#DIV/0!</v>
      </c>
      <c r="M597" s="93" t="e">
        <f>+E597/E598</f>
        <v>#DIV/0!</v>
      </c>
    </row>
    <row r="598" spans="1:16" s="2" customFormat="1" x14ac:dyDescent="0.25">
      <c r="B598" s="1393" t="s">
        <v>353</v>
      </c>
      <c r="C598" s="1393"/>
      <c r="D598" s="1389"/>
      <c r="E598" s="1394" t="e">
        <f>+M582</f>
        <v>#DIV/0!</v>
      </c>
      <c r="F598" s="1394"/>
      <c r="G598" s="1394"/>
      <c r="H598" s="1394"/>
      <c r="I598" s="1389"/>
      <c r="J598" s="13"/>
      <c r="P598" s="13"/>
    </row>
    <row r="599" spans="1:16" x14ac:dyDescent="0.25">
      <c r="O599" s="121"/>
    </row>
    <row r="600" spans="1:16" x14ac:dyDescent="0.25">
      <c r="A600" s="25"/>
      <c r="B600" s="26"/>
      <c r="C600" s="26"/>
      <c r="D600" s="26"/>
      <c r="E600" s="26"/>
      <c r="F600" s="22"/>
      <c r="G600" s="26"/>
      <c r="H600" s="26"/>
      <c r="I600" s="26"/>
      <c r="J600" s="27"/>
      <c r="K600" s="26"/>
      <c r="L600" s="26"/>
      <c r="M600" s="27"/>
    </row>
    <row r="602" spans="1:16" x14ac:dyDescent="0.25">
      <c r="E602" s="8"/>
      <c r="J602" s="64"/>
    </row>
  </sheetData>
  <mergeCells count="191">
    <mergeCell ref="A14:A15"/>
    <mergeCell ref="J14:J15"/>
    <mergeCell ref="B15:G15"/>
    <mergeCell ref="A5:A6"/>
    <mergeCell ref="B5:C5"/>
    <mergeCell ref="D5:D6"/>
    <mergeCell ref="E5:H5"/>
    <mergeCell ref="I5:I6"/>
    <mergeCell ref="J5:J6"/>
    <mergeCell ref="B6:C6"/>
    <mergeCell ref="E6:H6"/>
    <mergeCell ref="N47:N55"/>
    <mergeCell ref="B49:D49"/>
    <mergeCell ref="B50:D50"/>
    <mergeCell ref="B52:D52"/>
    <mergeCell ref="B53:D53"/>
    <mergeCell ref="B26:D26"/>
    <mergeCell ref="F26:H26"/>
    <mergeCell ref="B27:D27"/>
    <mergeCell ref="F27:H27"/>
    <mergeCell ref="B35:D35"/>
    <mergeCell ref="B36:F36"/>
    <mergeCell ref="E60:H60"/>
    <mergeCell ref="B78:D78"/>
    <mergeCell ref="F78:H78"/>
    <mergeCell ref="B79:D79"/>
    <mergeCell ref="F79:H79"/>
    <mergeCell ref="B88:D88"/>
    <mergeCell ref="B93:D93"/>
    <mergeCell ref="F93:H93"/>
    <mergeCell ref="B45:D45"/>
    <mergeCell ref="F45:G45"/>
    <mergeCell ref="B100:C100"/>
    <mergeCell ref="I60:I61"/>
    <mergeCell ref="B61:C61"/>
    <mergeCell ref="E61:H61"/>
    <mergeCell ref="A105:A106"/>
    <mergeCell ref="B105:M106"/>
    <mergeCell ref="E112:H112"/>
    <mergeCell ref="A132:M133"/>
    <mergeCell ref="A137:A138"/>
    <mergeCell ref="B137:C137"/>
    <mergeCell ref="D137:D138"/>
    <mergeCell ref="E137:H137"/>
    <mergeCell ref="I137:I138"/>
    <mergeCell ref="J137:J138"/>
    <mergeCell ref="B138:C138"/>
    <mergeCell ref="E138:H138"/>
    <mergeCell ref="A70:A71"/>
    <mergeCell ref="J70:J71"/>
    <mergeCell ref="B71:G71"/>
    <mergeCell ref="B98:C98"/>
    <mergeCell ref="E98:H98"/>
    <mergeCell ref="A60:A61"/>
    <mergeCell ref="B60:C60"/>
    <mergeCell ref="D60:D61"/>
    <mergeCell ref="J282:J283"/>
    <mergeCell ref="E183:I183"/>
    <mergeCell ref="A215:A216"/>
    <mergeCell ref="B215:C215"/>
    <mergeCell ref="D215:D216"/>
    <mergeCell ref="E215:H215"/>
    <mergeCell ref="I215:I216"/>
    <mergeCell ref="B216:C216"/>
    <mergeCell ref="B243:D243"/>
    <mergeCell ref="F243:I243"/>
    <mergeCell ref="B251:I251"/>
    <mergeCell ref="B269:M270"/>
    <mergeCell ref="B274:D274"/>
    <mergeCell ref="F274:I274"/>
    <mergeCell ref="E216:H216"/>
    <mergeCell ref="E229:H229"/>
    <mergeCell ref="B155:C155"/>
    <mergeCell ref="E155:H155"/>
    <mergeCell ref="B162:C162"/>
    <mergeCell ref="E162:H162"/>
    <mergeCell ref="A285:A286"/>
    <mergeCell ref="B285:I286"/>
    <mergeCell ref="B289:E289"/>
    <mergeCell ref="F289:I289"/>
    <mergeCell ref="A299:A300"/>
    <mergeCell ref="B299:I300"/>
    <mergeCell ref="A282:A283"/>
    <mergeCell ref="B282:I283"/>
    <mergeCell ref="A166:A167"/>
    <mergeCell ref="B166:C166"/>
    <mergeCell ref="D166:D167"/>
    <mergeCell ref="E166:H166"/>
    <mergeCell ref="I166:I167"/>
    <mergeCell ref="B167:C167"/>
    <mergeCell ref="E167:H167"/>
    <mergeCell ref="I312:I313"/>
    <mergeCell ref="B313:C313"/>
    <mergeCell ref="E313:H313"/>
    <mergeCell ref="B302:D302"/>
    <mergeCell ref="F302:H302"/>
    <mergeCell ref="B307:C307"/>
    <mergeCell ref="E307:H307"/>
    <mergeCell ref="E322:I322"/>
    <mergeCell ref="A330:A331"/>
    <mergeCell ref="B330:C330"/>
    <mergeCell ref="D330:D331"/>
    <mergeCell ref="E330:H330"/>
    <mergeCell ref="I330:I331"/>
    <mergeCell ref="B331:C331"/>
    <mergeCell ref="A312:A313"/>
    <mergeCell ref="B312:C312"/>
    <mergeCell ref="D312:D313"/>
    <mergeCell ref="E312:H312"/>
    <mergeCell ref="E331:H331"/>
    <mergeCell ref="B343:C343"/>
    <mergeCell ref="E343:H343"/>
    <mergeCell ref="B352:C352"/>
    <mergeCell ref="E352:H352"/>
    <mergeCell ref="B353:C353"/>
    <mergeCell ref="E353:H353"/>
    <mergeCell ref="E382:H382"/>
    <mergeCell ref="B366:C366"/>
    <mergeCell ref="E366:H366"/>
    <mergeCell ref="B376:C376"/>
    <mergeCell ref="E376:H376"/>
    <mergeCell ref="B397:C397"/>
    <mergeCell ref="D397:D398"/>
    <mergeCell ref="E397:H397"/>
    <mergeCell ref="I397:I398"/>
    <mergeCell ref="B398:C398"/>
    <mergeCell ref="E398:H398"/>
    <mergeCell ref="E429:H429"/>
    <mergeCell ref="I429:I430"/>
    <mergeCell ref="B430:C430"/>
    <mergeCell ref="E430:H430"/>
    <mergeCell ref="A381:A382"/>
    <mergeCell ref="B381:C381"/>
    <mergeCell ref="D381:D382"/>
    <mergeCell ref="E381:H381"/>
    <mergeCell ref="I381:I382"/>
    <mergeCell ref="B382:C382"/>
    <mergeCell ref="B504:C504"/>
    <mergeCell ref="E504:H504"/>
    <mergeCell ref="B414:D414"/>
    <mergeCell ref="F414:I414"/>
    <mergeCell ref="B421:C421"/>
    <mergeCell ref="E421:H421"/>
    <mergeCell ref="A426:M427"/>
    <mergeCell ref="A429:A430"/>
    <mergeCell ref="B429:C429"/>
    <mergeCell ref="D429:D430"/>
    <mergeCell ref="E447:I447"/>
    <mergeCell ref="B460:E460"/>
    <mergeCell ref="F460:J460"/>
    <mergeCell ref="B479:E479"/>
    <mergeCell ref="F479:J479"/>
    <mergeCell ref="B498:E498"/>
    <mergeCell ref="G498:I498"/>
    <mergeCell ref="A397:A398"/>
    <mergeCell ref="E570:I570"/>
    <mergeCell ref="B577:C577"/>
    <mergeCell ref="E577:H577"/>
    <mergeCell ref="E560:I560"/>
    <mergeCell ref="B511:C511"/>
    <mergeCell ref="D511:D512"/>
    <mergeCell ref="E511:H511"/>
    <mergeCell ref="I511:I512"/>
    <mergeCell ref="B512:C512"/>
    <mergeCell ref="E512:H512"/>
    <mergeCell ref="B526:C526"/>
    <mergeCell ref="E526:H526"/>
    <mergeCell ref="E531:I531"/>
    <mergeCell ref="E536:I536"/>
    <mergeCell ref="E541:J541"/>
    <mergeCell ref="B548:D548"/>
    <mergeCell ref="E548:I548"/>
    <mergeCell ref="B549:C549"/>
    <mergeCell ref="E549:I549"/>
    <mergeCell ref="E559:I559"/>
    <mergeCell ref="B560:D560"/>
    <mergeCell ref="B567:D567"/>
    <mergeCell ref="F567:I567"/>
    <mergeCell ref="A582:A583"/>
    <mergeCell ref="B582:C582"/>
    <mergeCell ref="D582:D583"/>
    <mergeCell ref="E582:H582"/>
    <mergeCell ref="I582:I583"/>
    <mergeCell ref="B597:C597"/>
    <mergeCell ref="D597:D598"/>
    <mergeCell ref="E597:H597"/>
    <mergeCell ref="I597:I598"/>
    <mergeCell ref="B598:C598"/>
    <mergeCell ref="E598:H598"/>
    <mergeCell ref="B583:C583"/>
    <mergeCell ref="E583:H583"/>
  </mergeCells>
  <pageMargins left="0.62992125984251968" right="0.51181102362204722" top="1.1023622047244095" bottom="0.51181102362204722" header="0.35433070866141736" footer="0"/>
  <pageSetup scale="70" fitToHeight="100" orientation="landscape" r:id="rId1"/>
  <headerFooter alignWithMargins="0">
    <oddHeader>&amp;L&amp;G&amp;R&amp;8Cdor.Lucas S. Gonzalez</oddHeader>
    <oddFooter>&amp;CPAGINA &amp;P / &amp;N</oddFooter>
  </headerFooter>
  <rowBreaks count="8" manualBreakCount="8">
    <brk id="106" max="16383" man="1"/>
    <brk id="157" max="16383" man="1"/>
    <brk id="210" max="16383" man="1"/>
    <brk id="304" max="16383" man="1"/>
    <brk id="358" max="12" man="1"/>
    <brk id="414" max="16383" man="1"/>
    <brk id="506" max="16383" man="1"/>
    <brk id="563" max="12" man="1"/>
  </rowBreaks>
  <legacyDrawingHF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R118"/>
  <sheetViews>
    <sheetView topLeftCell="AC1" workbookViewId="0">
      <selection activeCell="AN60" sqref="AN60"/>
    </sheetView>
  </sheetViews>
  <sheetFormatPr baseColWidth="10" defaultColWidth="11.44140625" defaultRowHeight="13.8" x14ac:dyDescent="0.3"/>
  <cols>
    <col min="1" max="1" width="2.33203125" style="225" bestFit="1" customWidth="1"/>
    <col min="2" max="2" width="16.33203125" style="225" customWidth="1"/>
    <col min="3" max="3" width="13.109375" style="225" customWidth="1"/>
    <col min="4" max="4" width="16.88671875" style="225" customWidth="1"/>
    <col min="5" max="5" width="12.88671875" style="225" bestFit="1" customWidth="1"/>
    <col min="6" max="6" width="11.88671875" style="225" bestFit="1" customWidth="1"/>
    <col min="7" max="7" width="7.6640625" style="225" bestFit="1" customWidth="1"/>
    <col min="8" max="8" width="12.5546875" style="225" customWidth="1"/>
    <col min="9" max="9" width="0" style="225" hidden="1" customWidth="1"/>
    <col min="10" max="10" width="13.109375" style="225" customWidth="1"/>
    <col min="11" max="11" width="11.44140625" style="225"/>
    <col min="12" max="12" width="19.44140625" style="225" bestFit="1" customWidth="1"/>
    <col min="13" max="13" width="11.44140625" style="225"/>
    <col min="14" max="14" width="14.109375" style="225" customWidth="1"/>
    <col min="15" max="16" width="11.88671875" style="225" bestFit="1" customWidth="1"/>
    <col min="17" max="17" width="8" style="225" customWidth="1"/>
    <col min="18" max="18" width="13.33203125" style="225" bestFit="1" customWidth="1"/>
    <col min="19" max="19" width="0" style="225" hidden="1" customWidth="1"/>
    <col min="20" max="20" width="11.5546875" style="225" bestFit="1" customWidth="1"/>
    <col min="21" max="21" width="11.44140625" style="228"/>
    <col min="22" max="22" width="11.44140625" style="225"/>
    <col min="23" max="23" width="14.88671875" style="225" customWidth="1"/>
    <col min="24" max="24" width="11.44140625" style="225"/>
    <col min="25" max="25" width="13.88671875" style="225" customWidth="1"/>
    <col min="26" max="30" width="11.44140625" style="225"/>
    <col min="31" max="31" width="17.5546875" style="225" customWidth="1"/>
    <col min="32" max="32" width="11.44140625" style="225"/>
    <col min="33" max="33" width="22" style="225" bestFit="1" customWidth="1"/>
    <col min="34" max="34" width="14.44140625" style="225" bestFit="1" customWidth="1"/>
    <col min="35" max="38" width="11.44140625" style="225"/>
    <col min="39" max="39" width="27.33203125" style="225" bestFit="1" customWidth="1"/>
    <col min="40" max="41" width="11.44140625" style="225"/>
    <col min="42" max="42" width="27.33203125" style="225" bestFit="1" customWidth="1"/>
    <col min="43" max="16384" width="11.44140625" style="225"/>
  </cols>
  <sheetData>
    <row r="1" spans="1:44" s="287" customFormat="1" ht="18.75" customHeight="1" x14ac:dyDescent="0.3">
      <c r="B1" s="294" t="s">
        <v>58</v>
      </c>
      <c r="C1" s="288"/>
      <c r="E1" s="289"/>
      <c r="I1" s="290"/>
      <c r="L1" s="295" t="s">
        <v>486</v>
      </c>
      <c r="U1" s="291"/>
      <c r="W1" s="295" t="s">
        <v>60</v>
      </c>
      <c r="X1" s="292" t="s">
        <v>587</v>
      </c>
      <c r="Y1" s="292" t="s">
        <v>588</v>
      </c>
      <c r="Z1" s="292" t="s">
        <v>589</v>
      </c>
      <c r="AA1" s="292">
        <v>0.6</v>
      </c>
      <c r="AE1" s="295" t="s">
        <v>595</v>
      </c>
      <c r="AM1" s="295" t="s">
        <v>597</v>
      </c>
      <c r="AP1" s="295" t="s">
        <v>161</v>
      </c>
      <c r="AQ1" s="293">
        <f>AVERAGE(AQ7:AQ82)*12</f>
        <v>30715.294285714277</v>
      </c>
    </row>
    <row r="2" spans="1:44" x14ac:dyDescent="0.3">
      <c r="B2" s="226"/>
      <c r="D2" s="273">
        <v>42736</v>
      </c>
      <c r="E2" s="244"/>
      <c r="F2" s="244"/>
      <c r="H2" s="245"/>
      <c r="I2" s="246" t="e">
        <f>AVERAGE(I10,I27,I43,I60)</f>
        <v>#DIV/0!</v>
      </c>
      <c r="J2" s="227"/>
      <c r="X2" s="283">
        <f>AVERAGE(Z45,Z29,Z12,Z62)</f>
        <v>6488.4187500000007</v>
      </c>
      <c r="Y2" s="283">
        <f>AVERAGE(Z14,Z15,Z31,Z47,Z48,Z32)</f>
        <v>3354.5133333333329</v>
      </c>
      <c r="Z2" s="283">
        <f>AVERAGE(Z17,Z18)</f>
        <v>2899</v>
      </c>
      <c r="AA2" s="284">
        <f>+AA1*Y2</f>
        <v>2012.7079999999996</v>
      </c>
      <c r="AB2" s="262"/>
      <c r="AG2" s="225" t="s">
        <v>592</v>
      </c>
      <c r="AH2" s="242">
        <f>AVERAGE(AH11,AH46,AH64,AH68)</f>
        <v>1648461.425</v>
      </c>
    </row>
    <row r="3" spans="1:44" x14ac:dyDescent="0.3">
      <c r="B3" s="226"/>
      <c r="C3" s="235" t="s">
        <v>526</v>
      </c>
      <c r="D3" s="243">
        <f>ROUND(AVERAGE(H15,H33,H49),2)</f>
        <v>7.56</v>
      </c>
      <c r="E3" s="244"/>
      <c r="F3" s="244"/>
      <c r="I3" s="249"/>
      <c r="N3" s="274">
        <v>42736</v>
      </c>
      <c r="R3" s="231"/>
      <c r="S3" s="231"/>
      <c r="W3" s="225" t="s">
        <v>380</v>
      </c>
      <c r="AA3" s="262">
        <f>+X2+AA2</f>
        <v>8501.1267499999994</v>
      </c>
      <c r="AG3" s="225" t="s">
        <v>593</v>
      </c>
      <c r="AH3" s="242">
        <f>AVERAGE(AH13,AH50,AH73,AH77)</f>
        <v>2525740.7250000001</v>
      </c>
    </row>
    <row r="4" spans="1:44" x14ac:dyDescent="0.3">
      <c r="C4" s="247" t="s">
        <v>585</v>
      </c>
      <c r="D4" s="248">
        <f>ROUND(AVERAGE(H16,H32,H50,H66),2)</f>
        <v>13.72</v>
      </c>
      <c r="F4" s="250"/>
      <c r="N4" s="275">
        <f>AVERAGE(T15,T32,T49,T66)</f>
        <v>29.258153658536585</v>
      </c>
      <c r="W4" s="225" t="s">
        <v>367</v>
      </c>
      <c r="X4" s="210"/>
      <c r="Y4" s="210"/>
      <c r="Z4" s="210"/>
      <c r="AA4" s="262">
        <f>+AA3*AB4</f>
        <v>0</v>
      </c>
      <c r="AB4" s="285">
        <f>+'Hoja Llave'!L15</f>
        <v>0</v>
      </c>
      <c r="AG4" s="225" t="s">
        <v>594</v>
      </c>
      <c r="AH4" s="242">
        <f>AVERAGE(AH80)</f>
        <v>4242126.7</v>
      </c>
    </row>
    <row r="5" spans="1:44" ht="18.75" customHeight="1" x14ac:dyDescent="0.3">
      <c r="A5" s="251"/>
      <c r="B5" s="252" t="s">
        <v>490</v>
      </c>
      <c r="C5" s="251"/>
      <c r="D5" s="251"/>
      <c r="E5" s="251"/>
      <c r="F5" s="251"/>
      <c r="G5" s="251"/>
      <c r="H5" s="251"/>
      <c r="I5" s="251"/>
      <c r="J5" s="251"/>
      <c r="K5" s="251"/>
      <c r="L5" s="252" t="s">
        <v>490</v>
      </c>
      <c r="M5" s="251"/>
      <c r="N5" s="251"/>
      <c r="O5" s="251"/>
      <c r="P5" s="251"/>
      <c r="Q5" s="251"/>
      <c r="R5" s="251"/>
      <c r="S5" s="251"/>
      <c r="T5" s="251"/>
      <c r="U5" s="276"/>
      <c r="V5" s="251"/>
      <c r="W5" s="252" t="s">
        <v>490</v>
      </c>
      <c r="X5" s="251"/>
      <c r="Y5" s="251"/>
      <c r="Z5" s="251"/>
      <c r="AA5" s="251"/>
      <c r="AB5" s="251"/>
      <c r="AE5" s="252" t="s">
        <v>490</v>
      </c>
      <c r="AF5" s="251"/>
      <c r="AG5" s="251"/>
      <c r="AH5" s="251"/>
      <c r="AI5" s="251"/>
      <c r="AJ5" s="251"/>
      <c r="AM5" s="252" t="s">
        <v>490</v>
      </c>
      <c r="AP5" s="252" t="s">
        <v>490</v>
      </c>
    </row>
    <row r="6" spans="1:44" ht="5.25" customHeight="1" x14ac:dyDescent="0.3">
      <c r="B6" s="253"/>
    </row>
    <row r="7" spans="1:44" ht="20.25" customHeight="1" x14ac:dyDescent="0.3">
      <c r="B7" s="241" t="s">
        <v>58</v>
      </c>
      <c r="C7" s="254"/>
      <c r="F7" s="225" t="s">
        <v>584</v>
      </c>
      <c r="I7" s="225" t="s">
        <v>493</v>
      </c>
      <c r="L7" s="241" t="s">
        <v>486</v>
      </c>
      <c r="S7" s="225" t="s">
        <v>493</v>
      </c>
      <c r="W7" s="241" t="s">
        <v>505</v>
      </c>
      <c r="AE7" s="241" t="s">
        <v>534</v>
      </c>
      <c r="AM7" s="241" t="s">
        <v>534</v>
      </c>
      <c r="AP7" s="241" t="s">
        <v>534</v>
      </c>
    </row>
    <row r="8" spans="1:44" ht="15.6" x14ac:dyDescent="0.3">
      <c r="B8" s="253">
        <v>2016</v>
      </c>
    </row>
    <row r="9" spans="1:44" x14ac:dyDescent="0.3">
      <c r="B9" s="224" t="s">
        <v>476</v>
      </c>
      <c r="C9" s="240" t="s">
        <v>478</v>
      </c>
      <c r="D9" s="255" t="s">
        <v>480</v>
      </c>
      <c r="E9" s="255" t="s">
        <v>436</v>
      </c>
      <c r="F9" s="255" t="s">
        <v>515</v>
      </c>
      <c r="G9" s="255" t="s">
        <v>516</v>
      </c>
      <c r="H9" s="240" t="s">
        <v>479</v>
      </c>
      <c r="L9" s="224" t="s">
        <v>476</v>
      </c>
      <c r="M9" s="240" t="s">
        <v>478</v>
      </c>
      <c r="N9" s="255" t="s">
        <v>480</v>
      </c>
      <c r="O9" s="255" t="s">
        <v>436</v>
      </c>
      <c r="P9" s="255" t="s">
        <v>515</v>
      </c>
      <c r="Q9" s="255" t="s">
        <v>516</v>
      </c>
      <c r="R9" s="240" t="s">
        <v>479</v>
      </c>
      <c r="W9" s="224" t="s">
        <v>476</v>
      </c>
      <c r="X9" s="240" t="s">
        <v>478</v>
      </c>
      <c r="Y9" s="255" t="s">
        <v>480</v>
      </c>
      <c r="Z9" s="240" t="s">
        <v>479</v>
      </c>
      <c r="AE9" s="224" t="s">
        <v>476</v>
      </c>
      <c r="AF9" s="240" t="s">
        <v>478</v>
      </c>
      <c r="AG9" s="255" t="s">
        <v>480</v>
      </c>
      <c r="AH9" s="240" t="s">
        <v>479</v>
      </c>
      <c r="AM9" s="224" t="s">
        <v>598</v>
      </c>
      <c r="AP9" s="224" t="s">
        <v>600</v>
      </c>
      <c r="AQ9" s="237"/>
    </row>
    <row r="10" spans="1:44" x14ac:dyDescent="0.3">
      <c r="A10" s="225" t="s">
        <v>0</v>
      </c>
      <c r="B10" s="256" t="s">
        <v>477</v>
      </c>
      <c r="C10" s="257">
        <v>42440</v>
      </c>
      <c r="D10" s="225" t="s">
        <v>481</v>
      </c>
      <c r="E10" s="237">
        <v>102556.54</v>
      </c>
      <c r="F10" s="237">
        <v>8345.49</v>
      </c>
      <c r="G10" s="230">
        <v>18996.009999999998</v>
      </c>
      <c r="H10" s="258">
        <f>+(E10-F10)/G10</f>
        <v>4.9595178145305248</v>
      </c>
      <c r="AP10" s="225" t="s">
        <v>603</v>
      </c>
      <c r="AQ10" s="237">
        <v>2137.0500000000002</v>
      </c>
      <c r="AR10" s="225" t="s">
        <v>604</v>
      </c>
    </row>
    <row r="11" spans="1:44" x14ac:dyDescent="0.3">
      <c r="A11" s="225" t="s">
        <v>0</v>
      </c>
      <c r="B11" s="225" t="s">
        <v>482</v>
      </c>
      <c r="C11" s="257">
        <v>42465</v>
      </c>
      <c r="D11" s="225" t="s">
        <v>483</v>
      </c>
      <c r="E11" s="237">
        <v>110160</v>
      </c>
      <c r="F11" s="237">
        <v>15736</v>
      </c>
      <c r="G11" s="230">
        <v>8000</v>
      </c>
      <c r="H11" s="258">
        <f>+(E11-F11)/G11</f>
        <v>11.803000000000001</v>
      </c>
      <c r="L11" s="225" t="s">
        <v>489</v>
      </c>
      <c r="M11" s="259">
        <v>42436</v>
      </c>
      <c r="N11" s="225" t="s">
        <v>488</v>
      </c>
      <c r="O11" s="237">
        <v>51276.63</v>
      </c>
      <c r="P11" s="237">
        <v>8899.25</v>
      </c>
      <c r="Q11" s="230">
        <v>7</v>
      </c>
      <c r="R11" s="260">
        <f>+(O11-P11)/Q11</f>
        <v>6053.9114285714286</v>
      </c>
      <c r="T11" s="229">
        <f>+R11/205</f>
        <v>29.531275261324041</v>
      </c>
      <c r="V11" s="225" t="s">
        <v>508</v>
      </c>
      <c r="W11" s="225" t="s">
        <v>506</v>
      </c>
      <c r="X11" s="259">
        <v>42741</v>
      </c>
      <c r="Z11" s="239">
        <v>6140.5</v>
      </c>
      <c r="AD11" s="228">
        <f>YEAR(AF11)</f>
        <v>2016</v>
      </c>
      <c r="AE11" s="225" t="s">
        <v>553</v>
      </c>
      <c r="AF11" s="259">
        <v>42674</v>
      </c>
      <c r="AH11" s="237">
        <v>1599782.81</v>
      </c>
      <c r="AI11" s="225" t="s">
        <v>551</v>
      </c>
      <c r="AP11" s="225" t="s">
        <v>603</v>
      </c>
      <c r="AQ11" s="237">
        <v>2052</v>
      </c>
      <c r="AR11" s="225" t="s">
        <v>605</v>
      </c>
    </row>
    <row r="12" spans="1:44" x14ac:dyDescent="0.3">
      <c r="C12" s="261"/>
      <c r="H12" s="234">
        <f>AVERAGE(H10:H11)</f>
        <v>8.3812589072652628</v>
      </c>
      <c r="T12" s="229"/>
      <c r="W12" s="225" t="s">
        <v>507</v>
      </c>
      <c r="X12" s="259">
        <v>42768</v>
      </c>
      <c r="Z12" s="239">
        <v>6603.31</v>
      </c>
      <c r="AA12" s="262">
        <f>AVERAGE(Z11:Z12,Z28,Z45)</f>
        <v>6450.5174999999999</v>
      </c>
      <c r="AQ12" s="237">
        <v>2241.4499999999998</v>
      </c>
    </row>
    <row r="13" spans="1:44" x14ac:dyDescent="0.3">
      <c r="C13" s="261"/>
      <c r="H13" s="244"/>
      <c r="T13" s="229"/>
      <c r="Z13" s="239"/>
      <c r="AD13" s="228">
        <f>YEAR(AF13)</f>
        <v>2016</v>
      </c>
      <c r="AE13" s="225" t="s">
        <v>554</v>
      </c>
      <c r="AF13" s="259">
        <v>42683</v>
      </c>
      <c r="AH13" s="237">
        <v>2882772.85</v>
      </c>
      <c r="AI13" s="225" t="s">
        <v>552</v>
      </c>
      <c r="AQ13" s="237"/>
    </row>
    <row r="14" spans="1:44" ht="15.6" x14ac:dyDescent="0.3">
      <c r="B14" s="253">
        <v>2017</v>
      </c>
      <c r="C14" s="261"/>
      <c r="H14" s="244"/>
      <c r="T14" s="229"/>
      <c r="V14" s="225" t="s">
        <v>509</v>
      </c>
      <c r="Z14" s="239">
        <v>3673.95</v>
      </c>
      <c r="AQ14" s="237"/>
    </row>
    <row r="15" spans="1:44" x14ac:dyDescent="0.3">
      <c r="A15" s="225" t="s">
        <v>0</v>
      </c>
      <c r="B15" s="256" t="s">
        <v>484</v>
      </c>
      <c r="C15" s="257">
        <v>42749</v>
      </c>
      <c r="D15" s="225" t="s">
        <v>481</v>
      </c>
      <c r="E15" s="237">
        <v>66466.94</v>
      </c>
      <c r="F15" s="237">
        <v>6970.37</v>
      </c>
      <c r="G15" s="230">
        <v>8000</v>
      </c>
      <c r="H15" s="258">
        <f>+(E15-F15)/G15</f>
        <v>7.4370712499999998</v>
      </c>
      <c r="I15" s="238">
        <f>+H15/H10-1</f>
        <v>0.49955530519734692</v>
      </c>
      <c r="J15" s="225" t="s">
        <v>526</v>
      </c>
      <c r="L15" s="225" t="s">
        <v>487</v>
      </c>
      <c r="M15" s="259">
        <v>42737</v>
      </c>
      <c r="N15" s="225" t="s">
        <v>488</v>
      </c>
      <c r="O15" s="237">
        <v>41867.550000000003</v>
      </c>
      <c r="P15" s="237">
        <v>7266.27</v>
      </c>
      <c r="Q15" s="230">
        <v>5</v>
      </c>
      <c r="R15" s="260">
        <f>+(O15-P15)/Q15</f>
        <v>6920.2559999999994</v>
      </c>
      <c r="S15" s="263">
        <f>+R15/R11-1</f>
        <v>0.14310493003578784</v>
      </c>
      <c r="T15" s="280">
        <f>+R15/205</f>
        <v>33.757346341463411</v>
      </c>
      <c r="U15" s="281" t="s">
        <v>556</v>
      </c>
      <c r="Z15" s="239">
        <v>3499</v>
      </c>
      <c r="AA15" s="262">
        <f>AVERAGE(Z14,Z15,Z31)</f>
        <v>3506.6666666666665</v>
      </c>
      <c r="AQ15" s="237"/>
    </row>
    <row r="16" spans="1:44" x14ac:dyDescent="0.3">
      <c r="A16" s="225" t="s">
        <v>0</v>
      </c>
      <c r="B16" s="225" t="s">
        <v>485</v>
      </c>
      <c r="C16" s="257">
        <v>42762</v>
      </c>
      <c r="D16" s="225" t="s">
        <v>483</v>
      </c>
      <c r="E16" s="237">
        <v>401161.7</v>
      </c>
      <c r="F16" s="237">
        <v>52198.99</v>
      </c>
      <c r="G16" s="230">
        <v>32646</v>
      </c>
      <c r="H16" s="258">
        <f>+(E16-F16)/G16</f>
        <v>10.689294553697238</v>
      </c>
      <c r="I16" s="238">
        <f>+H16/H11-1</f>
        <v>-9.4357828204927774E-2</v>
      </c>
      <c r="J16" s="225" t="s">
        <v>586</v>
      </c>
      <c r="R16" s="262"/>
      <c r="S16" s="262" t="e">
        <f>+S15/S11-1</f>
        <v>#DIV/0!</v>
      </c>
      <c r="T16" s="238">
        <f>+T15/T11-1</f>
        <v>0.14310493003578784</v>
      </c>
      <c r="Z16" s="239"/>
      <c r="AQ16" s="237"/>
    </row>
    <row r="17" spans="1:43" x14ac:dyDescent="0.3">
      <c r="H17" s="234">
        <f>AVERAGE(H15:H16)</f>
        <v>9.0631829018486183</v>
      </c>
      <c r="I17" s="263">
        <f>+H17/H12-1</f>
        <v>8.1362955389939318E-2</v>
      </c>
      <c r="V17" s="225" t="s">
        <v>510</v>
      </c>
      <c r="Z17" s="239">
        <v>2899</v>
      </c>
      <c r="AQ17" s="237"/>
    </row>
    <row r="18" spans="1:43" x14ac:dyDescent="0.3">
      <c r="Z18" s="239">
        <v>2899</v>
      </c>
      <c r="AA18" s="262">
        <f>AVERAGE(Z17,Z18,Z35)</f>
        <v>2899</v>
      </c>
      <c r="AQ18" s="237"/>
    </row>
    <row r="19" spans="1:43" x14ac:dyDescent="0.3">
      <c r="AQ19" s="237"/>
    </row>
    <row r="20" spans="1:43" x14ac:dyDescent="0.3">
      <c r="AQ20" s="237"/>
    </row>
    <row r="21" spans="1:43" x14ac:dyDescent="0.3">
      <c r="AQ21" s="237"/>
    </row>
    <row r="22" spans="1:43" ht="15.6" x14ac:dyDescent="0.3">
      <c r="A22" s="264"/>
      <c r="B22" s="265" t="s">
        <v>491</v>
      </c>
      <c r="C22" s="264"/>
      <c r="D22" s="264"/>
      <c r="E22" s="264"/>
      <c r="F22" s="264"/>
      <c r="G22" s="264"/>
      <c r="H22" s="264"/>
      <c r="I22" s="264"/>
      <c r="J22" s="264"/>
      <c r="K22" s="264"/>
      <c r="L22" s="265" t="s">
        <v>491</v>
      </c>
      <c r="M22" s="264"/>
      <c r="N22" s="264"/>
      <c r="O22" s="264"/>
      <c r="P22" s="264"/>
      <c r="Q22" s="264"/>
      <c r="R22" s="264"/>
      <c r="S22" s="264"/>
      <c r="T22" s="264"/>
      <c r="U22" s="277"/>
      <c r="V22" s="264"/>
      <c r="W22" s="265" t="s">
        <v>491</v>
      </c>
      <c r="X22" s="264"/>
      <c r="Y22" s="264"/>
      <c r="Z22" s="264"/>
      <c r="AA22" s="264"/>
      <c r="AB22" s="264"/>
      <c r="AE22" s="265" t="s">
        <v>491</v>
      </c>
      <c r="AF22" s="264"/>
      <c r="AG22" s="264"/>
      <c r="AH22" s="264"/>
      <c r="AI22" s="264"/>
      <c r="AJ22" s="264"/>
      <c r="AM22" s="265" t="s">
        <v>491</v>
      </c>
      <c r="AP22" s="265" t="s">
        <v>491</v>
      </c>
      <c r="AQ22" s="237"/>
    </row>
    <row r="23" spans="1:43" ht="7.5" customHeight="1" x14ac:dyDescent="0.3">
      <c r="AQ23" s="237"/>
    </row>
    <row r="24" spans="1:43" ht="20.25" customHeight="1" x14ac:dyDescent="0.3">
      <c r="B24" s="241" t="s">
        <v>58</v>
      </c>
      <c r="C24" s="254"/>
      <c r="L24" s="241" t="s">
        <v>486</v>
      </c>
      <c r="AQ24" s="237"/>
    </row>
    <row r="25" spans="1:43" ht="15.6" x14ac:dyDescent="0.3">
      <c r="B25" s="253">
        <v>2016</v>
      </c>
      <c r="AQ25" s="237"/>
    </row>
    <row r="26" spans="1:43" x14ac:dyDescent="0.3">
      <c r="B26" s="224" t="s">
        <v>476</v>
      </c>
      <c r="C26" s="240" t="s">
        <v>478</v>
      </c>
      <c r="D26" s="255" t="s">
        <v>480</v>
      </c>
      <c r="E26" s="255" t="s">
        <v>436</v>
      </c>
      <c r="F26" s="255" t="s">
        <v>515</v>
      </c>
      <c r="G26" s="255" t="s">
        <v>516</v>
      </c>
      <c r="H26" s="240" t="s">
        <v>479</v>
      </c>
      <c r="L26" s="224" t="s">
        <v>476</v>
      </c>
      <c r="M26" s="240" t="s">
        <v>478</v>
      </c>
      <c r="N26" s="255" t="s">
        <v>480</v>
      </c>
      <c r="O26" s="255"/>
      <c r="P26" s="255"/>
      <c r="Q26" s="255"/>
      <c r="R26" s="240" t="s">
        <v>479</v>
      </c>
      <c r="W26" s="224" t="s">
        <v>476</v>
      </c>
      <c r="X26" s="240" t="s">
        <v>478</v>
      </c>
      <c r="Y26" s="255" t="s">
        <v>480</v>
      </c>
      <c r="Z26" s="240" t="s">
        <v>479</v>
      </c>
      <c r="AE26" s="224" t="s">
        <v>476</v>
      </c>
      <c r="AF26" s="240" t="s">
        <v>478</v>
      </c>
      <c r="AG26" s="255" t="s">
        <v>480</v>
      </c>
      <c r="AH26" s="240" t="s">
        <v>479</v>
      </c>
      <c r="AM26" s="224" t="s">
        <v>598</v>
      </c>
      <c r="AP26" s="224" t="s">
        <v>600</v>
      </c>
      <c r="AQ26" s="237"/>
    </row>
    <row r="27" spans="1:43" x14ac:dyDescent="0.3">
      <c r="A27" s="225" t="s">
        <v>0</v>
      </c>
      <c r="B27" s="225" t="s">
        <v>492</v>
      </c>
      <c r="C27" s="257">
        <v>42445</v>
      </c>
      <c r="D27" s="225" t="s">
        <v>481</v>
      </c>
      <c r="E27" s="237">
        <v>127449.81</v>
      </c>
      <c r="F27" s="237">
        <v>9699.16</v>
      </c>
      <c r="G27" s="230">
        <v>24007</v>
      </c>
      <c r="H27" s="258">
        <f>+(E27-F27)/G27</f>
        <v>4.9048465031032613</v>
      </c>
      <c r="W27" s="225" t="s">
        <v>508</v>
      </c>
      <c r="AQ27" s="237"/>
    </row>
    <row r="28" spans="1:43" x14ac:dyDescent="0.3">
      <c r="A28" s="225" t="s">
        <v>0</v>
      </c>
      <c r="B28" s="225" t="s">
        <v>482</v>
      </c>
      <c r="C28" s="257">
        <v>42460</v>
      </c>
      <c r="D28" s="225" t="s">
        <v>483</v>
      </c>
      <c r="E28" s="237"/>
      <c r="F28" s="237"/>
      <c r="G28" s="230"/>
      <c r="H28" s="258"/>
      <c r="L28" s="225" t="s">
        <v>496</v>
      </c>
      <c r="M28" s="259">
        <v>42444</v>
      </c>
      <c r="N28" s="225" t="s">
        <v>488</v>
      </c>
      <c r="O28" s="237">
        <v>8250.1</v>
      </c>
      <c r="P28" s="237">
        <v>1431.84</v>
      </c>
      <c r="Q28" s="225">
        <v>1</v>
      </c>
      <c r="R28" s="258">
        <f>+(O28-P28)/Q28</f>
        <v>6818.26</v>
      </c>
      <c r="T28" s="229">
        <f>+R28/205</f>
        <v>33.259804878048783</v>
      </c>
      <c r="V28" s="228">
        <f>YEAR(X28)</f>
        <v>2016</v>
      </c>
      <c r="W28" s="225" t="s">
        <v>527</v>
      </c>
      <c r="X28" s="259">
        <v>42443</v>
      </c>
      <c r="Y28" s="228" t="s">
        <v>528</v>
      </c>
      <c r="Z28" s="239">
        <f>(7272.73+6624.79)/2</f>
        <v>6948.76</v>
      </c>
      <c r="AA28" s="262"/>
      <c r="AM28" s="225" t="s">
        <v>599</v>
      </c>
      <c r="AN28" s="237">
        <v>3358.04</v>
      </c>
      <c r="AP28" s="225" t="s">
        <v>601</v>
      </c>
      <c r="AQ28" s="237">
        <v>1229.5999999999999</v>
      </c>
    </row>
    <row r="29" spans="1:43" x14ac:dyDescent="0.3">
      <c r="C29" s="261"/>
      <c r="E29" s="237"/>
      <c r="F29" s="237"/>
      <c r="G29" s="230"/>
      <c r="H29" s="234">
        <f>AVERAGE(H27:H28)</f>
        <v>4.9048465031032613</v>
      </c>
      <c r="T29" s="229"/>
      <c r="V29" s="228">
        <f>YEAR(X29)</f>
        <v>2017</v>
      </c>
      <c r="W29" s="225" t="s">
        <v>529</v>
      </c>
      <c r="X29" s="259">
        <v>42767</v>
      </c>
      <c r="Y29" s="228" t="s">
        <v>528</v>
      </c>
      <c r="Z29" s="239">
        <f>+(6793.39+7190)/2</f>
        <v>6991.6949999999997</v>
      </c>
      <c r="AP29" s="225" t="s">
        <v>602</v>
      </c>
      <c r="AQ29" s="237">
        <v>4434</v>
      </c>
    </row>
    <row r="30" spans="1:43" x14ac:dyDescent="0.3">
      <c r="C30" s="261"/>
      <c r="E30" s="237"/>
      <c r="F30" s="237"/>
      <c r="G30" s="230"/>
      <c r="H30" s="244"/>
      <c r="T30" s="229"/>
      <c r="V30" s="228"/>
      <c r="W30" s="225" t="s">
        <v>509</v>
      </c>
      <c r="Y30" s="228"/>
      <c r="Z30" s="239"/>
      <c r="AQ30" s="237"/>
    </row>
    <row r="31" spans="1:43" ht="15.6" x14ac:dyDescent="0.3">
      <c r="B31" s="253">
        <v>2017</v>
      </c>
      <c r="C31" s="261"/>
      <c r="E31" s="237"/>
      <c r="F31" s="237"/>
      <c r="G31" s="230"/>
      <c r="H31" s="244"/>
      <c r="T31" s="229"/>
      <c r="V31" s="228">
        <f>YEAR(X31)</f>
        <v>2016</v>
      </c>
      <c r="W31" s="225" t="s">
        <v>530</v>
      </c>
      <c r="X31" s="259">
        <v>42447</v>
      </c>
      <c r="Y31" s="228" t="s">
        <v>528</v>
      </c>
      <c r="Z31" s="239">
        <f>+(3353+3341.1)/2</f>
        <v>3347.05</v>
      </c>
      <c r="AA31" s="262"/>
      <c r="AQ31" s="237"/>
    </row>
    <row r="32" spans="1:43" x14ac:dyDescent="0.3">
      <c r="A32" s="225" t="s">
        <v>0</v>
      </c>
      <c r="B32" s="225" t="s">
        <v>494</v>
      </c>
      <c r="C32" s="257">
        <v>42765</v>
      </c>
      <c r="D32" s="225" t="s">
        <v>481</v>
      </c>
      <c r="E32" s="237">
        <v>1565</v>
      </c>
      <c r="F32" s="237">
        <v>225.71</v>
      </c>
      <c r="G32" s="230">
        <v>104.4</v>
      </c>
      <c r="H32" s="258">
        <f>+(E32-F32)/G32</f>
        <v>12.828448275862067</v>
      </c>
      <c r="I32" s="238">
        <f>+H32/H27-1</f>
        <v>1.6154637597212469</v>
      </c>
      <c r="J32" s="225" t="s">
        <v>586</v>
      </c>
      <c r="L32" s="225" t="s">
        <v>497</v>
      </c>
      <c r="M32" s="259">
        <v>42751</v>
      </c>
      <c r="N32" s="225" t="s">
        <v>488</v>
      </c>
      <c r="O32" s="237">
        <v>8000</v>
      </c>
      <c r="P32" s="237">
        <v>1320.33</v>
      </c>
      <c r="Q32" s="225">
        <v>1</v>
      </c>
      <c r="R32" s="258">
        <f>+(O32-P32)/Q32</f>
        <v>6679.67</v>
      </c>
      <c r="S32" s="263">
        <f>+R32/R28-1</f>
        <v>-2.0326300258423746E-2</v>
      </c>
      <c r="T32" s="280">
        <f>+R32/205</f>
        <v>32.583756097560979</v>
      </c>
      <c r="U32" s="281" t="s">
        <v>556</v>
      </c>
      <c r="V32" s="228">
        <f>YEAR(X32)</f>
        <v>2017</v>
      </c>
      <c r="W32" s="225" t="s">
        <v>531</v>
      </c>
      <c r="X32" s="259">
        <v>42761</v>
      </c>
      <c r="Y32" s="228" t="s">
        <v>528</v>
      </c>
      <c r="Z32" s="239">
        <f>+(2907.03+3353)/2</f>
        <v>3130.0150000000003</v>
      </c>
      <c r="AQ32" s="237"/>
    </row>
    <row r="33" spans="1:43" x14ac:dyDescent="0.3">
      <c r="A33" s="225" t="s">
        <v>0</v>
      </c>
      <c r="B33" s="225" t="s">
        <v>517</v>
      </c>
      <c r="C33" s="257">
        <v>42765</v>
      </c>
      <c r="D33" s="225" t="s">
        <v>518</v>
      </c>
      <c r="E33" s="237">
        <v>58931.03</v>
      </c>
      <c r="F33" s="237">
        <v>5670.54</v>
      </c>
      <c r="G33" s="230">
        <v>7000</v>
      </c>
      <c r="H33" s="258">
        <f>+(E33-F33)/G33</f>
        <v>7.6086414285714286</v>
      </c>
      <c r="I33" s="238"/>
      <c r="J33" s="225" t="s">
        <v>526</v>
      </c>
      <c r="M33" s="259"/>
      <c r="R33" s="239"/>
      <c r="S33" s="266"/>
      <c r="Z33" s="239"/>
      <c r="AQ33" s="237"/>
    </row>
    <row r="34" spans="1:43" x14ac:dyDescent="0.3">
      <c r="A34" s="225" t="s">
        <v>0</v>
      </c>
      <c r="B34" s="225" t="s">
        <v>495</v>
      </c>
      <c r="C34" s="257">
        <v>42769</v>
      </c>
      <c r="D34" s="225" t="s">
        <v>483</v>
      </c>
      <c r="E34" s="237">
        <v>24349.89</v>
      </c>
      <c r="F34" s="237">
        <v>3921.93</v>
      </c>
      <c r="G34" s="230">
        <v>1360</v>
      </c>
      <c r="H34" s="258">
        <f>+(E34-F34)/G34</f>
        <v>15.020558823529411</v>
      </c>
      <c r="I34" s="238" t="e">
        <f>+H34/H28-1</f>
        <v>#DIV/0!</v>
      </c>
      <c r="T34" s="238">
        <f>+T32/T28-1</f>
        <v>-2.0326300258423635E-2</v>
      </c>
      <c r="Z34" s="239"/>
      <c r="AQ34" s="237"/>
    </row>
    <row r="35" spans="1:43" x14ac:dyDescent="0.3">
      <c r="E35" s="237"/>
      <c r="F35" s="237"/>
      <c r="G35" s="230"/>
      <c r="H35" s="234">
        <f>AVERAGE(H32:H34)</f>
        <v>11.819216175987636</v>
      </c>
      <c r="I35" s="263">
        <f>+H35/H29-1</f>
        <v>1.4097015408147233</v>
      </c>
      <c r="W35" s="225" t="s">
        <v>510</v>
      </c>
      <c r="Z35" s="239"/>
      <c r="AA35" s="262"/>
      <c r="AQ35" s="237"/>
    </row>
    <row r="36" spans="1:43" x14ac:dyDescent="0.3">
      <c r="Z36" s="239"/>
      <c r="AQ36" s="237"/>
    </row>
    <row r="37" spans="1:43" x14ac:dyDescent="0.3">
      <c r="AQ37" s="237"/>
    </row>
    <row r="38" spans="1:43" ht="15.6" x14ac:dyDescent="0.3">
      <c r="A38" s="267"/>
      <c r="B38" s="268" t="s">
        <v>498</v>
      </c>
      <c r="C38" s="267"/>
      <c r="D38" s="267"/>
      <c r="E38" s="267"/>
      <c r="F38" s="267"/>
      <c r="G38" s="267"/>
      <c r="H38" s="267"/>
      <c r="I38" s="267"/>
      <c r="J38" s="267"/>
      <c r="K38" s="267"/>
      <c r="L38" s="268" t="s">
        <v>498</v>
      </c>
      <c r="M38" s="267"/>
      <c r="N38" s="267"/>
      <c r="O38" s="267"/>
      <c r="P38" s="267"/>
      <c r="Q38" s="267"/>
      <c r="R38" s="267"/>
      <c r="S38" s="267"/>
      <c r="T38" s="267"/>
      <c r="U38" s="278"/>
      <c r="V38" s="267"/>
      <c r="W38" s="268" t="s">
        <v>498</v>
      </c>
      <c r="X38" s="267"/>
      <c r="Y38" s="267"/>
      <c r="Z38" s="267"/>
      <c r="AA38" s="267"/>
      <c r="AB38" s="267"/>
      <c r="AE38" s="268" t="s">
        <v>498</v>
      </c>
      <c r="AF38" s="267"/>
      <c r="AG38" s="267"/>
      <c r="AH38" s="267"/>
      <c r="AI38" s="267"/>
      <c r="AJ38" s="267"/>
      <c r="AM38" s="268" t="s">
        <v>498</v>
      </c>
      <c r="AP38" s="268" t="s">
        <v>498</v>
      </c>
      <c r="AQ38" s="237"/>
    </row>
    <row r="39" spans="1:43" ht="7.5" customHeight="1" x14ac:dyDescent="0.3">
      <c r="AQ39" s="237"/>
    </row>
    <row r="40" spans="1:43" ht="20.25" customHeight="1" x14ac:dyDescent="0.3">
      <c r="B40" s="241" t="s">
        <v>58</v>
      </c>
      <c r="C40" s="254"/>
      <c r="L40" s="241" t="s">
        <v>486</v>
      </c>
      <c r="AQ40" s="237"/>
    </row>
    <row r="41" spans="1:43" ht="15.6" x14ac:dyDescent="0.3">
      <c r="B41" s="253">
        <v>2016</v>
      </c>
      <c r="AQ41" s="237"/>
    </row>
    <row r="42" spans="1:43" x14ac:dyDescent="0.3">
      <c r="B42" s="224" t="s">
        <v>476</v>
      </c>
      <c r="C42" s="240" t="s">
        <v>478</v>
      </c>
      <c r="D42" s="255" t="s">
        <v>480</v>
      </c>
      <c r="E42" s="255" t="s">
        <v>436</v>
      </c>
      <c r="F42" s="255" t="s">
        <v>515</v>
      </c>
      <c r="G42" s="255" t="s">
        <v>516</v>
      </c>
      <c r="H42" s="240" t="s">
        <v>479</v>
      </c>
      <c r="L42" s="224" t="s">
        <v>476</v>
      </c>
      <c r="M42" s="240" t="s">
        <v>478</v>
      </c>
      <c r="N42" s="255" t="s">
        <v>480</v>
      </c>
      <c r="O42" s="255"/>
      <c r="P42" s="255"/>
      <c r="Q42" s="255"/>
      <c r="R42" s="240" t="s">
        <v>479</v>
      </c>
      <c r="W42" s="224" t="s">
        <v>476</v>
      </c>
      <c r="X42" s="240" t="s">
        <v>478</v>
      </c>
      <c r="Y42" s="255" t="s">
        <v>480</v>
      </c>
      <c r="Z42" s="240" t="s">
        <v>479</v>
      </c>
      <c r="AE42" s="224" t="s">
        <v>476</v>
      </c>
      <c r="AF42" s="240" t="s">
        <v>478</v>
      </c>
      <c r="AG42" s="255" t="s">
        <v>480</v>
      </c>
      <c r="AH42" s="240" t="s">
        <v>479</v>
      </c>
      <c r="AM42" s="224" t="s">
        <v>598</v>
      </c>
      <c r="AP42" s="224" t="s">
        <v>600</v>
      </c>
      <c r="AQ42" s="237"/>
    </row>
    <row r="43" spans="1:43" x14ac:dyDescent="0.3">
      <c r="A43" s="225" t="s">
        <v>0</v>
      </c>
      <c r="B43" s="225" t="s">
        <v>499</v>
      </c>
      <c r="C43" s="257">
        <v>42450</v>
      </c>
      <c r="D43" s="225" t="s">
        <v>481</v>
      </c>
      <c r="E43" s="237">
        <v>171087.79</v>
      </c>
      <c r="F43" s="237">
        <v>13129.64</v>
      </c>
      <c r="G43" s="230">
        <v>31999</v>
      </c>
      <c r="H43" s="258">
        <f>+(E43-F43)/G43</f>
        <v>4.9363464483265114</v>
      </c>
      <c r="L43" s="225" t="s">
        <v>504</v>
      </c>
      <c r="M43" s="259">
        <v>42438</v>
      </c>
      <c r="N43" s="225" t="s">
        <v>488</v>
      </c>
      <c r="O43" s="237">
        <v>27513.95</v>
      </c>
      <c r="P43" s="237">
        <v>4775.1499999999996</v>
      </c>
      <c r="Q43" s="230">
        <v>840</v>
      </c>
      <c r="R43" s="258">
        <f>+(O43-P43)/Q43</f>
        <v>27.070000000000004</v>
      </c>
      <c r="T43" s="244">
        <f>+R43</f>
        <v>27.070000000000004</v>
      </c>
      <c r="W43" s="225" t="s">
        <v>508</v>
      </c>
      <c r="AQ43" s="237"/>
    </row>
    <row r="44" spans="1:43" x14ac:dyDescent="0.3">
      <c r="A44" s="225" t="s">
        <v>0</v>
      </c>
      <c r="B44" s="225" t="s">
        <v>500</v>
      </c>
      <c r="C44" s="257">
        <v>42460</v>
      </c>
      <c r="D44" s="225" t="s">
        <v>483</v>
      </c>
      <c r="E44" s="237">
        <v>149757.22</v>
      </c>
      <c r="F44" s="237">
        <v>20953.86</v>
      </c>
      <c r="G44" s="230">
        <f>9635+11432+10344</f>
        <v>31411</v>
      </c>
      <c r="H44" s="258">
        <f>+(E44-F44)/G44</f>
        <v>4.1005813250135299</v>
      </c>
      <c r="V44" s="228">
        <f>YEAR(X44)</f>
        <v>2016</v>
      </c>
      <c r="W44" s="225" t="s">
        <v>532</v>
      </c>
      <c r="X44" s="259">
        <v>42436</v>
      </c>
      <c r="Y44" s="228" t="s">
        <v>528</v>
      </c>
      <c r="Z44" s="239">
        <v>6133.88</v>
      </c>
      <c r="AD44" s="228">
        <f>YEAR(AF44)</f>
        <v>2016</v>
      </c>
      <c r="AE44" s="225" t="s">
        <v>535</v>
      </c>
      <c r="AF44" s="259">
        <v>42709</v>
      </c>
      <c r="AG44" s="225" t="s">
        <v>536</v>
      </c>
      <c r="AH44" s="237">
        <v>1062000</v>
      </c>
      <c r="AQ44" s="237"/>
    </row>
    <row r="45" spans="1:43" x14ac:dyDescent="0.3">
      <c r="C45" s="261"/>
      <c r="E45" s="237"/>
      <c r="F45" s="237"/>
      <c r="G45" s="230"/>
      <c r="H45" s="234">
        <f>AVERAGE(H43:H44)</f>
        <v>4.5184638866700206</v>
      </c>
      <c r="V45" s="228">
        <f>YEAR(X45)</f>
        <v>2017</v>
      </c>
      <c r="W45" s="225" t="s">
        <v>533</v>
      </c>
      <c r="X45" s="259">
        <v>42737</v>
      </c>
      <c r="Y45" s="228" t="s">
        <v>528</v>
      </c>
      <c r="Z45" s="239">
        <f>+(5996.69+6222.31)/2</f>
        <v>6109.5</v>
      </c>
      <c r="AA45" s="262">
        <f>+Z45</f>
        <v>6109.5</v>
      </c>
      <c r="AE45" s="225" t="s">
        <v>538</v>
      </c>
      <c r="AF45" s="259">
        <v>42577</v>
      </c>
      <c r="AG45" s="225" t="s">
        <v>537</v>
      </c>
      <c r="AH45" s="237">
        <v>1221719</v>
      </c>
      <c r="AQ45" s="237"/>
    </row>
    <row r="46" spans="1:43" x14ac:dyDescent="0.3">
      <c r="S46" s="263">
        <f>+R49/R43-1</f>
        <v>8.8659032138898031E-3</v>
      </c>
      <c r="V46" s="228"/>
      <c r="W46" s="225" t="s">
        <v>509</v>
      </c>
      <c r="Y46" s="228"/>
      <c r="Z46" s="239"/>
      <c r="AH46" s="269">
        <f>SUM(AH44:AH45)</f>
        <v>2283719</v>
      </c>
      <c r="AI46" s="225" t="s">
        <v>551</v>
      </c>
      <c r="AQ46" s="237"/>
    </row>
    <row r="47" spans="1:43" x14ac:dyDescent="0.3">
      <c r="C47" s="261"/>
      <c r="E47" s="237"/>
      <c r="F47" s="237"/>
      <c r="G47" s="230"/>
      <c r="H47" s="244"/>
      <c r="V47" s="228">
        <f>YEAR(X47)</f>
        <v>2016</v>
      </c>
      <c r="W47" s="225" t="s">
        <v>530</v>
      </c>
      <c r="X47" s="259">
        <v>42447</v>
      </c>
      <c r="Y47" s="228" t="s">
        <v>528</v>
      </c>
      <c r="Z47" s="239">
        <f>+(3353+3341.1)/2</f>
        <v>3347.05</v>
      </c>
      <c r="AQ47" s="237"/>
    </row>
    <row r="48" spans="1:43" ht="15.6" x14ac:dyDescent="0.3">
      <c r="B48" s="253">
        <v>2017</v>
      </c>
      <c r="C48" s="261"/>
      <c r="E48" s="237"/>
      <c r="F48" s="237"/>
      <c r="G48" s="230"/>
      <c r="H48" s="244"/>
      <c r="V48" s="228">
        <f>YEAR(X48)</f>
        <v>2017</v>
      </c>
      <c r="W48" s="225" t="s">
        <v>531</v>
      </c>
      <c r="X48" s="259">
        <v>42761</v>
      </c>
      <c r="Y48" s="228" t="s">
        <v>528</v>
      </c>
      <c r="Z48" s="239">
        <f>+(2907.03+3353)/2</f>
        <v>3130.0150000000003</v>
      </c>
      <c r="AD48" s="228">
        <f>YEAR(AF48)</f>
        <v>2016</v>
      </c>
      <c r="AE48" s="225" t="s">
        <v>539</v>
      </c>
      <c r="AF48" s="259">
        <v>42709</v>
      </c>
      <c r="AG48" s="225" t="s">
        <v>536</v>
      </c>
      <c r="AH48" s="237">
        <v>1197746.6100000001</v>
      </c>
      <c r="AQ48" s="237"/>
    </row>
    <row r="49" spans="1:43" x14ac:dyDescent="0.3">
      <c r="A49" s="225" t="s">
        <v>0</v>
      </c>
      <c r="B49" s="225" t="s">
        <v>501</v>
      </c>
      <c r="C49" s="257">
        <v>42758</v>
      </c>
      <c r="D49" s="225" t="s">
        <v>481</v>
      </c>
      <c r="E49" s="237">
        <v>211387.63</v>
      </c>
      <c r="F49" s="237">
        <v>20406.990000000002</v>
      </c>
      <c r="G49" s="230">
        <v>24997</v>
      </c>
      <c r="H49" s="258">
        <f>+(E49-F49)/G49</f>
        <v>7.6401424170900514</v>
      </c>
      <c r="I49" s="238">
        <f>+H49/H43-1</f>
        <v>0.54773221390896576</v>
      </c>
      <c r="J49" s="225" t="s">
        <v>526</v>
      </c>
      <c r="L49" s="225" t="s">
        <v>519</v>
      </c>
      <c r="M49" s="259">
        <v>42742</v>
      </c>
      <c r="N49" s="225" t="s">
        <v>488</v>
      </c>
      <c r="O49" s="237">
        <v>46263.14</v>
      </c>
      <c r="P49" s="237">
        <v>8029.14</v>
      </c>
      <c r="Q49" s="230">
        <v>1400</v>
      </c>
      <c r="R49" s="258">
        <f>+(O49-P49)/Q49</f>
        <v>27.31</v>
      </c>
      <c r="T49" s="282">
        <f>+R49</f>
        <v>27.31</v>
      </c>
      <c r="U49" s="281" t="s">
        <v>556</v>
      </c>
      <c r="AE49" s="225" t="s">
        <v>540</v>
      </c>
      <c r="AF49" s="259">
        <v>42577</v>
      </c>
      <c r="AG49" s="225" t="s">
        <v>537</v>
      </c>
      <c r="AH49" s="237">
        <v>1289592.76</v>
      </c>
      <c r="AQ49" s="237"/>
    </row>
    <row r="50" spans="1:43" x14ac:dyDescent="0.3">
      <c r="A50" s="225" t="s">
        <v>0</v>
      </c>
      <c r="B50" s="225" t="s">
        <v>502</v>
      </c>
      <c r="C50" s="257">
        <v>42758</v>
      </c>
      <c r="D50" s="225" t="s">
        <v>503</v>
      </c>
      <c r="E50" s="237">
        <v>194869.99</v>
      </c>
      <c r="F50" s="237">
        <v>26406.54</v>
      </c>
      <c r="G50" s="230">
        <v>9673</v>
      </c>
      <c r="H50" s="258">
        <f>+(E50-F50)/G50</f>
        <v>17.415843068334539</v>
      </c>
      <c r="I50" s="238">
        <f>+H50/H44-1</f>
        <v>3.2471644110794644</v>
      </c>
      <c r="J50" s="225" t="s">
        <v>586</v>
      </c>
      <c r="P50" s="242"/>
      <c r="T50" s="238">
        <f>+T49/T43-1</f>
        <v>8.8659032138898031E-3</v>
      </c>
      <c r="AH50" s="269">
        <f>SUM(AH48:AH49)</f>
        <v>2487339.37</v>
      </c>
      <c r="AI50" s="225" t="s">
        <v>552</v>
      </c>
      <c r="AQ50" s="237"/>
    </row>
    <row r="51" spans="1:43" x14ac:dyDescent="0.3">
      <c r="H51" s="234">
        <f>AVERAGE(H49:H50)</f>
        <v>12.527992742712295</v>
      </c>
      <c r="I51" s="263">
        <f>+H51/H45-1</f>
        <v>1.7726220806303865</v>
      </c>
      <c r="AQ51" s="237"/>
    </row>
    <row r="52" spans="1:43" x14ac:dyDescent="0.3">
      <c r="AQ52" s="237"/>
    </row>
    <row r="53" spans="1:43" x14ac:dyDescent="0.3">
      <c r="AQ53" s="237"/>
    </row>
    <row r="54" spans="1:43" x14ac:dyDescent="0.3">
      <c r="AQ54" s="237"/>
    </row>
    <row r="55" spans="1:43" ht="15.6" x14ac:dyDescent="0.3">
      <c r="A55" s="270"/>
      <c r="B55" s="271" t="s">
        <v>520</v>
      </c>
      <c r="C55" s="270"/>
      <c r="D55" s="270"/>
      <c r="E55" s="270"/>
      <c r="F55" s="270"/>
      <c r="G55" s="270"/>
      <c r="H55" s="270"/>
      <c r="I55" s="270"/>
      <c r="J55" s="270"/>
      <c r="K55" s="270"/>
      <c r="L55" s="271" t="s">
        <v>520</v>
      </c>
      <c r="M55" s="270"/>
      <c r="N55" s="270"/>
      <c r="O55" s="270"/>
      <c r="P55" s="270"/>
      <c r="Q55" s="270"/>
      <c r="R55" s="270"/>
      <c r="S55" s="270"/>
      <c r="T55" s="270"/>
      <c r="U55" s="279"/>
      <c r="V55" s="270"/>
      <c r="W55" s="271" t="s">
        <v>520</v>
      </c>
      <c r="X55" s="270"/>
      <c r="Y55" s="270"/>
      <c r="Z55" s="270"/>
      <c r="AA55" s="270"/>
      <c r="AB55" s="270"/>
      <c r="AE55" s="271" t="s">
        <v>520</v>
      </c>
      <c r="AF55" s="270"/>
      <c r="AG55" s="270"/>
      <c r="AH55" s="270"/>
      <c r="AI55" s="270"/>
      <c r="AJ55" s="270"/>
      <c r="AM55" s="271" t="s">
        <v>520</v>
      </c>
      <c r="AP55" s="271" t="s">
        <v>520</v>
      </c>
      <c r="AQ55" s="237"/>
    </row>
    <row r="56" spans="1:43" ht="7.5" customHeight="1" x14ac:dyDescent="0.3">
      <c r="AQ56" s="237"/>
    </row>
    <row r="57" spans="1:43" ht="20.25" customHeight="1" x14ac:dyDescent="0.3">
      <c r="B57" s="241" t="s">
        <v>58</v>
      </c>
      <c r="C57" s="254"/>
      <c r="L57" s="241" t="s">
        <v>486</v>
      </c>
      <c r="AQ57" s="237"/>
    </row>
    <row r="58" spans="1:43" ht="15.6" x14ac:dyDescent="0.3">
      <c r="B58" s="253">
        <v>2016</v>
      </c>
      <c r="AQ58" s="237"/>
    </row>
    <row r="59" spans="1:43" x14ac:dyDescent="0.3">
      <c r="B59" s="224" t="s">
        <v>476</v>
      </c>
      <c r="C59" s="240" t="s">
        <v>478</v>
      </c>
      <c r="D59" s="255" t="s">
        <v>480</v>
      </c>
      <c r="E59" s="255" t="s">
        <v>436</v>
      </c>
      <c r="F59" s="255" t="s">
        <v>515</v>
      </c>
      <c r="G59" s="255" t="s">
        <v>516</v>
      </c>
      <c r="H59" s="240" t="s">
        <v>479</v>
      </c>
      <c r="L59" s="224" t="s">
        <v>476</v>
      </c>
      <c r="M59" s="240" t="s">
        <v>478</v>
      </c>
      <c r="N59" s="255" t="s">
        <v>480</v>
      </c>
      <c r="O59" s="255"/>
      <c r="P59" s="255"/>
      <c r="Q59" s="255"/>
      <c r="R59" s="240" t="s">
        <v>479</v>
      </c>
      <c r="W59" s="224" t="s">
        <v>476</v>
      </c>
      <c r="X59" s="240" t="s">
        <v>478</v>
      </c>
      <c r="Y59" s="255" t="s">
        <v>480</v>
      </c>
      <c r="Z59" s="240" t="s">
        <v>479</v>
      </c>
      <c r="AE59" s="224" t="s">
        <v>476</v>
      </c>
      <c r="AF59" s="240" t="s">
        <v>478</v>
      </c>
      <c r="AG59" s="255" t="s">
        <v>480</v>
      </c>
      <c r="AH59" s="240" t="s">
        <v>479</v>
      </c>
      <c r="AM59" s="224" t="s">
        <v>598</v>
      </c>
      <c r="AP59" s="224" t="s">
        <v>600</v>
      </c>
      <c r="AQ59" s="237"/>
    </row>
    <row r="60" spans="1:43" x14ac:dyDescent="0.3">
      <c r="A60" s="225" t="s">
        <v>0</v>
      </c>
      <c r="B60" s="225" t="s">
        <v>521</v>
      </c>
      <c r="C60" s="257">
        <v>42445</v>
      </c>
      <c r="D60" s="225" t="s">
        <v>481</v>
      </c>
      <c r="E60" s="237">
        <v>2550.06</v>
      </c>
      <c r="F60" s="237">
        <v>1693.93</v>
      </c>
      <c r="G60" s="230">
        <v>178</v>
      </c>
      <c r="H60" s="258">
        <f>+(E60-F60)/G60</f>
        <v>4.8097191011235951</v>
      </c>
      <c r="L60" s="225" t="s">
        <v>524</v>
      </c>
      <c r="M60" s="259">
        <v>42436</v>
      </c>
      <c r="N60" s="225" t="s">
        <v>488</v>
      </c>
      <c r="O60" s="237">
        <v>15529.58</v>
      </c>
      <c r="P60" s="237">
        <v>2695.22</v>
      </c>
      <c r="Q60" s="230">
        <v>2</v>
      </c>
      <c r="R60" s="258">
        <f>+(O60-P60)/Q60</f>
        <v>6417.18</v>
      </c>
      <c r="T60" s="244">
        <f>+R60/205</f>
        <v>31.303317073170732</v>
      </c>
      <c r="AP60" s="225" t="s">
        <v>606</v>
      </c>
      <c r="AQ60" s="237">
        <v>2786</v>
      </c>
    </row>
    <row r="61" spans="1:43" hidden="1" x14ac:dyDescent="0.3">
      <c r="A61" s="225" t="s">
        <v>0</v>
      </c>
      <c r="B61" s="272" t="s">
        <v>504</v>
      </c>
      <c r="C61" s="257">
        <v>42438</v>
      </c>
      <c r="E61" s="237"/>
      <c r="F61" s="237"/>
      <c r="G61" s="230"/>
      <c r="H61" s="258">
        <v>29.42</v>
      </c>
      <c r="AQ61" s="237"/>
    </row>
    <row r="62" spans="1:43" x14ac:dyDescent="0.3">
      <c r="C62" s="257"/>
      <c r="E62" s="237"/>
      <c r="F62" s="237"/>
      <c r="G62" s="230"/>
      <c r="H62" s="258"/>
      <c r="V62" s="225" t="s">
        <v>508</v>
      </c>
      <c r="Z62" s="239">
        <f>(6133.88+6364.46)/2</f>
        <v>6249.17</v>
      </c>
      <c r="AA62" s="262">
        <f>+Z62</f>
        <v>6249.17</v>
      </c>
      <c r="AD62" s="228">
        <f>YEAR(AF62)</f>
        <v>2016</v>
      </c>
      <c r="AE62" s="225" t="s">
        <v>541</v>
      </c>
      <c r="AF62" s="259">
        <v>42654</v>
      </c>
      <c r="AG62" s="225" t="s">
        <v>536</v>
      </c>
      <c r="AH62" s="237">
        <v>926009.05</v>
      </c>
      <c r="AP62" s="225" t="s">
        <v>607</v>
      </c>
      <c r="AQ62" s="237">
        <v>2587.6999999999998</v>
      </c>
    </row>
    <row r="63" spans="1:43" x14ac:dyDescent="0.3">
      <c r="C63" s="261"/>
      <c r="E63" s="237"/>
      <c r="F63" s="237"/>
      <c r="G63" s="230"/>
      <c r="H63" s="234">
        <f>AVERAGE(H60:H62)</f>
        <v>17.1148595505618</v>
      </c>
      <c r="S63" s="263">
        <f>+R66/R60-1</f>
        <v>-0.25306598848715478</v>
      </c>
      <c r="AD63" s="228">
        <f>YEAR(AF63)</f>
        <v>2016</v>
      </c>
      <c r="AE63" s="225" t="s">
        <v>542</v>
      </c>
      <c r="AF63" s="259">
        <v>42647</v>
      </c>
      <c r="AG63" s="225" t="s">
        <v>537</v>
      </c>
      <c r="AH63" s="237">
        <v>328045.25</v>
      </c>
      <c r="AP63" s="225" t="s">
        <v>608</v>
      </c>
      <c r="AQ63" s="237">
        <v>2132.5500000000002</v>
      </c>
    </row>
    <row r="64" spans="1:43" x14ac:dyDescent="0.3">
      <c r="C64" s="261"/>
      <c r="E64" s="237"/>
      <c r="F64" s="237"/>
      <c r="G64" s="230"/>
      <c r="H64" s="244"/>
      <c r="AH64" s="242">
        <f>+AH62+AH63</f>
        <v>1254054.3</v>
      </c>
      <c r="AI64" s="225" t="s">
        <v>551</v>
      </c>
      <c r="AP64" s="225" t="s">
        <v>609</v>
      </c>
      <c r="AQ64" s="237">
        <v>5357.68</v>
      </c>
    </row>
    <row r="65" spans="1:43" ht="15.6" x14ac:dyDescent="0.3">
      <c r="B65" s="253">
        <v>2017</v>
      </c>
      <c r="C65" s="261"/>
      <c r="E65" s="237"/>
      <c r="F65" s="237"/>
      <c r="G65" s="230"/>
      <c r="H65" s="244"/>
      <c r="V65" s="225" t="s">
        <v>509</v>
      </c>
      <c r="AP65" s="225" t="s">
        <v>610</v>
      </c>
      <c r="AQ65" s="237">
        <v>4248.4799999999996</v>
      </c>
    </row>
    <row r="66" spans="1:43" x14ac:dyDescent="0.3">
      <c r="A66" s="225" t="s">
        <v>0</v>
      </c>
      <c r="B66" s="225" t="s">
        <v>522</v>
      </c>
      <c r="C66" s="257">
        <v>42752</v>
      </c>
      <c r="D66" s="225" t="s">
        <v>523</v>
      </c>
      <c r="E66" s="237">
        <v>550460</v>
      </c>
      <c r="F66" s="237">
        <v>76354.33</v>
      </c>
      <c r="G66" s="230">
        <v>34000</v>
      </c>
      <c r="H66" s="258">
        <f>+(E66-F66)/G66</f>
        <v>13.944284411764706</v>
      </c>
      <c r="I66" s="238">
        <f>+H66/H60-1</f>
        <v>1.8991889377712705</v>
      </c>
      <c r="J66" s="225" t="s">
        <v>586</v>
      </c>
      <c r="L66" s="225" t="s">
        <v>525</v>
      </c>
      <c r="M66" s="259">
        <v>42744</v>
      </c>
      <c r="N66" s="225" t="s">
        <v>488</v>
      </c>
      <c r="O66" s="237">
        <v>23201.03</v>
      </c>
      <c r="P66" s="237">
        <v>4028.19</v>
      </c>
      <c r="Q66" s="230">
        <v>4</v>
      </c>
      <c r="R66" s="258">
        <f>+(O66-P66)/Q66</f>
        <v>4793.21</v>
      </c>
      <c r="T66" s="282">
        <f>+R66/205</f>
        <v>23.381512195121953</v>
      </c>
      <c r="U66" s="281" t="s">
        <v>556</v>
      </c>
      <c r="AD66" s="228">
        <f>YEAR(AF66)</f>
        <v>2016</v>
      </c>
      <c r="AE66" s="225" t="s">
        <v>543</v>
      </c>
      <c r="AF66" s="259">
        <v>42654</v>
      </c>
      <c r="AG66" s="225" t="s">
        <v>536</v>
      </c>
      <c r="AH66" s="237">
        <v>1076054.3</v>
      </c>
      <c r="AP66" s="225" t="s">
        <v>611</v>
      </c>
      <c r="AQ66" s="237">
        <v>1016</v>
      </c>
    </row>
    <row r="67" spans="1:43" x14ac:dyDescent="0.3">
      <c r="C67" s="257"/>
      <c r="E67" s="237"/>
      <c r="F67" s="237"/>
      <c r="G67" s="230"/>
      <c r="H67" s="258"/>
      <c r="I67" s="238" t="e">
        <f>+H67/H62-1</f>
        <v>#DIV/0!</v>
      </c>
      <c r="P67" s="242"/>
      <c r="T67" s="238">
        <f>+T66/T60-1</f>
        <v>-0.25306598848715478</v>
      </c>
      <c r="AD67" s="228">
        <f>YEAR(AF67)</f>
        <v>2016</v>
      </c>
      <c r="AE67" s="225" t="s">
        <v>542</v>
      </c>
      <c r="AF67" s="259">
        <v>42647</v>
      </c>
      <c r="AG67" s="225" t="s">
        <v>537</v>
      </c>
      <c r="AH67" s="237">
        <v>380235.29</v>
      </c>
      <c r="AP67" s="225" t="s">
        <v>612</v>
      </c>
      <c r="AQ67" s="237">
        <v>3833</v>
      </c>
    </row>
    <row r="68" spans="1:43" x14ac:dyDescent="0.3">
      <c r="H68" s="234">
        <f>AVERAGE(H66:H67)</f>
        <v>13.944284411764706</v>
      </c>
      <c r="I68" s="263">
        <f>+H68/H63-1</f>
        <v>-0.18525276993541084</v>
      </c>
      <c r="V68" s="225" t="s">
        <v>510</v>
      </c>
      <c r="AH68" s="242">
        <f>+AH66+AH67</f>
        <v>1456289.59</v>
      </c>
      <c r="AI68" s="225" t="s">
        <v>551</v>
      </c>
      <c r="AP68" s="225" t="s">
        <v>613</v>
      </c>
      <c r="AQ68" s="237">
        <v>828</v>
      </c>
    </row>
    <row r="69" spans="1:43" x14ac:dyDescent="0.3">
      <c r="AP69" s="225" t="s">
        <v>614</v>
      </c>
      <c r="AQ69" s="237">
        <v>951</v>
      </c>
    </row>
    <row r="70" spans="1:43" x14ac:dyDescent="0.3">
      <c r="AQ70" s="237"/>
    </row>
    <row r="71" spans="1:43" x14ac:dyDescent="0.3">
      <c r="AD71" s="228">
        <f>YEAR(AF71)</f>
        <v>2016</v>
      </c>
      <c r="AE71" s="225" t="s">
        <v>545</v>
      </c>
      <c r="AF71" s="259">
        <v>42635</v>
      </c>
      <c r="AG71" s="225" t="s">
        <v>536</v>
      </c>
      <c r="AH71" s="237">
        <v>1280995.48</v>
      </c>
      <c r="AQ71" s="237"/>
    </row>
    <row r="72" spans="1:43" x14ac:dyDescent="0.3">
      <c r="AD72" s="228">
        <f>YEAR(AF72)</f>
        <v>2016</v>
      </c>
      <c r="AE72" s="225" t="s">
        <v>544</v>
      </c>
      <c r="AF72" s="259">
        <v>42632</v>
      </c>
      <c r="AG72" s="225" t="s">
        <v>537</v>
      </c>
      <c r="AH72" s="237">
        <v>742714.93</v>
      </c>
      <c r="AQ72" s="237"/>
    </row>
    <row r="73" spans="1:43" x14ac:dyDescent="0.3">
      <c r="AH73" s="242">
        <f>+AH71+AH72</f>
        <v>2023710.4100000001</v>
      </c>
      <c r="AI73" s="225" t="s">
        <v>550</v>
      </c>
      <c r="AQ73" s="237"/>
    </row>
    <row r="74" spans="1:43" x14ac:dyDescent="0.3">
      <c r="AQ74" s="237"/>
    </row>
    <row r="75" spans="1:43" x14ac:dyDescent="0.3">
      <c r="AD75" s="228">
        <f>YEAR(AF75)</f>
        <v>2016</v>
      </c>
      <c r="AE75" s="225" t="s">
        <v>546</v>
      </c>
      <c r="AF75" s="259">
        <v>42654</v>
      </c>
      <c r="AG75" s="225" t="s">
        <v>536</v>
      </c>
      <c r="AH75" s="237">
        <v>1743022.62</v>
      </c>
      <c r="AQ75" s="237"/>
    </row>
    <row r="76" spans="1:43" x14ac:dyDescent="0.3">
      <c r="AD76" s="228">
        <f>YEAR(AF76)</f>
        <v>2016</v>
      </c>
      <c r="AE76" s="225" t="s">
        <v>547</v>
      </c>
      <c r="AF76" s="259">
        <v>42650</v>
      </c>
      <c r="AG76" s="225" t="s">
        <v>537</v>
      </c>
      <c r="AH76" s="237">
        <v>966117.65</v>
      </c>
      <c r="AQ76" s="237"/>
    </row>
    <row r="77" spans="1:43" x14ac:dyDescent="0.3">
      <c r="AH77" s="242">
        <f>+AH75+AH76</f>
        <v>2709140.27</v>
      </c>
      <c r="AI77" s="225" t="s">
        <v>550</v>
      </c>
      <c r="AQ77" s="237"/>
    </row>
    <row r="78" spans="1:43" x14ac:dyDescent="0.3">
      <c r="AQ78" s="237"/>
    </row>
    <row r="79" spans="1:43" x14ac:dyDescent="0.3">
      <c r="AQ79" s="237"/>
    </row>
    <row r="80" spans="1:43" x14ac:dyDescent="0.3">
      <c r="AD80" s="228">
        <f>YEAR(AF80)</f>
        <v>2017</v>
      </c>
      <c r="AE80" s="225" t="s">
        <v>548</v>
      </c>
      <c r="AF80" s="259">
        <v>42776</v>
      </c>
      <c r="AG80" s="225" t="s">
        <v>536</v>
      </c>
      <c r="AH80" s="237">
        <v>4242126.7</v>
      </c>
      <c r="AI80" s="225" t="s">
        <v>549</v>
      </c>
      <c r="AQ80" s="237"/>
    </row>
    <row r="81" spans="43:43" x14ac:dyDescent="0.3">
      <c r="AQ81" s="237"/>
    </row>
    <row r="82" spans="43:43" x14ac:dyDescent="0.3">
      <c r="AQ82" s="237"/>
    </row>
    <row r="83" spans="43:43" x14ac:dyDescent="0.3">
      <c r="AQ83" s="237"/>
    </row>
    <row r="84" spans="43:43" x14ac:dyDescent="0.3">
      <c r="AQ84" s="237"/>
    </row>
    <row r="85" spans="43:43" x14ac:dyDescent="0.3">
      <c r="AQ85" s="237"/>
    </row>
    <row r="86" spans="43:43" x14ac:dyDescent="0.3">
      <c r="AQ86" s="237"/>
    </row>
    <row r="87" spans="43:43" x14ac:dyDescent="0.3">
      <c r="AQ87" s="237"/>
    </row>
    <row r="88" spans="43:43" x14ac:dyDescent="0.3">
      <c r="AQ88" s="237"/>
    </row>
    <row r="89" spans="43:43" x14ac:dyDescent="0.3">
      <c r="AQ89" s="237"/>
    </row>
    <row r="90" spans="43:43" x14ac:dyDescent="0.3">
      <c r="AQ90" s="237"/>
    </row>
    <row r="91" spans="43:43" x14ac:dyDescent="0.3">
      <c r="AQ91" s="237"/>
    </row>
    <row r="92" spans="43:43" x14ac:dyDescent="0.3">
      <c r="AQ92" s="237"/>
    </row>
    <row r="93" spans="43:43" x14ac:dyDescent="0.3">
      <c r="AQ93" s="237"/>
    </row>
    <row r="94" spans="43:43" x14ac:dyDescent="0.3">
      <c r="AQ94" s="237"/>
    </row>
    <row r="95" spans="43:43" x14ac:dyDescent="0.3">
      <c r="AQ95" s="237"/>
    </row>
    <row r="96" spans="43:43" x14ac:dyDescent="0.3">
      <c r="AQ96" s="237"/>
    </row>
    <row r="97" spans="43:43" x14ac:dyDescent="0.3">
      <c r="AQ97" s="237"/>
    </row>
    <row r="98" spans="43:43" x14ac:dyDescent="0.3">
      <c r="AQ98" s="237"/>
    </row>
    <row r="99" spans="43:43" x14ac:dyDescent="0.3">
      <c r="AQ99" s="237"/>
    </row>
    <row r="100" spans="43:43" x14ac:dyDescent="0.3">
      <c r="AQ100" s="237"/>
    </row>
    <row r="101" spans="43:43" x14ac:dyDescent="0.3">
      <c r="AQ101" s="237"/>
    </row>
    <row r="102" spans="43:43" x14ac:dyDescent="0.3">
      <c r="AQ102" s="237"/>
    </row>
    <row r="103" spans="43:43" x14ac:dyDescent="0.3">
      <c r="AQ103" s="237"/>
    </row>
    <row r="104" spans="43:43" x14ac:dyDescent="0.3">
      <c r="AQ104" s="237"/>
    </row>
    <row r="105" spans="43:43" x14ac:dyDescent="0.3">
      <c r="AQ105" s="237"/>
    </row>
    <row r="106" spans="43:43" x14ac:dyDescent="0.3">
      <c r="AQ106" s="237"/>
    </row>
    <row r="107" spans="43:43" x14ac:dyDescent="0.3">
      <c r="AQ107" s="237"/>
    </row>
    <row r="108" spans="43:43" x14ac:dyDescent="0.3">
      <c r="AQ108" s="237"/>
    </row>
    <row r="109" spans="43:43" x14ac:dyDescent="0.3">
      <c r="AQ109" s="237"/>
    </row>
    <row r="110" spans="43:43" x14ac:dyDescent="0.3">
      <c r="AQ110" s="237"/>
    </row>
    <row r="111" spans="43:43" x14ac:dyDescent="0.3">
      <c r="AQ111" s="237"/>
    </row>
    <row r="112" spans="43:43" x14ac:dyDescent="0.3">
      <c r="AQ112" s="237"/>
    </row>
    <row r="113" spans="43:43" x14ac:dyDescent="0.3">
      <c r="AQ113" s="237"/>
    </row>
    <row r="114" spans="43:43" x14ac:dyDescent="0.3">
      <c r="AQ114" s="237"/>
    </row>
    <row r="115" spans="43:43" x14ac:dyDescent="0.3">
      <c r="AQ115" s="237"/>
    </row>
    <row r="116" spans="43:43" x14ac:dyDescent="0.3">
      <c r="AQ116" s="237"/>
    </row>
    <row r="117" spans="43:43" x14ac:dyDescent="0.3">
      <c r="AQ117" s="237"/>
    </row>
    <row r="118" spans="43:43" x14ac:dyDescent="0.3">
      <c r="AQ118" s="237"/>
    </row>
  </sheetData>
  <pageMargins left="0.22" right="0.17" top="0.74803149606299213" bottom="0.74803149606299213" header="0.31496062992125984" footer="0.31496062992125984"/>
  <pageSetup scale="32"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601"/>
  <sheetViews>
    <sheetView showGridLines="0" zoomScale="85" zoomScaleNormal="85" workbookViewId="0"/>
  </sheetViews>
  <sheetFormatPr baseColWidth="10" defaultRowHeight="13.2" x14ac:dyDescent="0.25"/>
  <cols>
    <col min="1" max="1" width="27.5546875" style="34" customWidth="1"/>
    <col min="2" max="2" width="13.44140625" style="2" customWidth="1"/>
    <col min="3" max="3" width="16.5546875" customWidth="1"/>
    <col min="4" max="4" width="15.5546875" customWidth="1"/>
    <col min="5" max="5" width="13" customWidth="1"/>
    <col min="6" max="6" width="12.88671875" customWidth="1"/>
    <col min="7" max="7" width="12.109375" style="1" customWidth="1"/>
    <col min="8" max="8" width="10.33203125" customWidth="1"/>
    <col min="9" max="9" width="26.33203125" customWidth="1"/>
    <col min="11" max="11" width="18.109375" style="10" bestFit="1" customWidth="1"/>
    <col min="12" max="12" width="9.6640625" customWidth="1"/>
    <col min="13" max="13" width="9.6640625" bestFit="1" customWidth="1"/>
    <col min="14" max="14" width="12.88671875" style="10" bestFit="1" customWidth="1"/>
    <col min="15" max="15" width="12.44140625" bestFit="1" customWidth="1"/>
    <col min="16" max="16" width="12.88671875" bestFit="1" customWidth="1"/>
    <col min="17" max="17" width="17.6640625" customWidth="1"/>
    <col min="18" max="18" width="11.5546875" bestFit="1" customWidth="1"/>
  </cols>
  <sheetData>
    <row r="1" spans="1:15" s="2" customFormat="1" x14ac:dyDescent="0.25">
      <c r="A1" s="59"/>
      <c r="B1" s="5" t="s">
        <v>0</v>
      </c>
      <c r="C1" s="6" t="s">
        <v>1</v>
      </c>
      <c r="D1" s="6"/>
      <c r="E1" s="6"/>
      <c r="F1" s="6"/>
      <c r="G1" s="7"/>
      <c r="H1" s="6"/>
      <c r="I1" s="6"/>
      <c r="J1" s="6"/>
      <c r="K1" s="18"/>
      <c r="L1" s="6"/>
      <c r="M1" s="6"/>
      <c r="N1" s="11"/>
    </row>
    <row r="3" spans="1:15" s="2" customFormat="1" ht="52.8" x14ac:dyDescent="0.25">
      <c r="A3" s="59" t="s">
        <v>406</v>
      </c>
      <c r="B3" s="5" t="s">
        <v>2</v>
      </c>
      <c r="C3" s="6" t="s">
        <v>3</v>
      </c>
      <c r="D3" s="6"/>
      <c r="E3" s="6"/>
      <c r="F3" s="6"/>
      <c r="G3" s="7" t="s">
        <v>24</v>
      </c>
      <c r="H3" s="6"/>
      <c r="I3" s="6"/>
      <c r="J3" s="6"/>
      <c r="K3" s="18"/>
      <c r="L3" s="6"/>
      <c r="M3" s="6"/>
      <c r="N3" s="76">
        <f>+N44+N54</f>
        <v>489.84422859323996</v>
      </c>
      <c r="O3" s="113" t="e">
        <f>+N3/#REF!-1</f>
        <v>#REF!</v>
      </c>
    </row>
    <row r="5" spans="1:15" s="2" customFormat="1" x14ac:dyDescent="0.25">
      <c r="A5" s="59"/>
      <c r="B5" s="1403" t="s">
        <v>191</v>
      </c>
      <c r="C5" s="1390" t="s">
        <v>192</v>
      </c>
      <c r="D5" s="1390"/>
      <c r="E5" s="1403" t="s">
        <v>4</v>
      </c>
      <c r="F5" s="1422" t="str">
        <f>+K10&amp;" . "&amp;K12&amp;" . "&amp;ROUND(K14,2)&amp;" . "&amp;ROUND(K16,3)&amp;" . "&amp;K18&amp;" . "&amp;K22</f>
        <v>0,4207 . 192 . 5445,3 . 1,236 . 1,06666666666667 . 2,5</v>
      </c>
      <c r="G5" s="1422"/>
      <c r="H5" s="1422"/>
      <c r="I5" s="1422"/>
      <c r="J5" s="1403" t="s">
        <v>4</v>
      </c>
      <c r="K5" s="1426">
        <f>+(K10*K12*K14*K16*K22*K18)/K20</f>
        <v>224.14966078581691</v>
      </c>
      <c r="N5" s="112">
        <v>1</v>
      </c>
      <c r="O5" s="112"/>
    </row>
    <row r="6" spans="1:15" s="2" customFormat="1" x14ac:dyDescent="0.25">
      <c r="A6" s="59"/>
      <c r="B6" s="1403"/>
      <c r="C6" s="1393" t="s">
        <v>329</v>
      </c>
      <c r="D6" s="1393"/>
      <c r="E6" s="1403"/>
      <c r="F6" s="1399">
        <f>+ROUND(K20,2)</f>
        <v>6467.9</v>
      </c>
      <c r="G6" s="1399"/>
      <c r="H6" s="1399"/>
      <c r="I6" s="1399"/>
      <c r="J6" s="1403"/>
      <c r="K6" s="1426"/>
    </row>
    <row r="8" spans="1:15" x14ac:dyDescent="0.25">
      <c r="B8" s="8" t="s">
        <v>5</v>
      </c>
    </row>
    <row r="10" spans="1:15" x14ac:dyDescent="0.25">
      <c r="A10" s="35" t="s">
        <v>400</v>
      </c>
      <c r="B10" s="4" t="s">
        <v>193</v>
      </c>
      <c r="C10" s="8" t="s">
        <v>194</v>
      </c>
      <c r="K10" s="72">
        <f>+'Hoja Llave'!J41</f>
        <v>0.42070000000000002</v>
      </c>
    </row>
    <row r="12" spans="1:15" x14ac:dyDescent="0.25">
      <c r="A12" s="35" t="s">
        <v>401</v>
      </c>
      <c r="B12" s="4" t="s">
        <v>12</v>
      </c>
      <c r="C12" t="s">
        <v>6</v>
      </c>
      <c r="K12" s="72">
        <f>+'Hoja Llave'!J3</f>
        <v>192</v>
      </c>
    </row>
    <row r="14" spans="1:15" ht="26.4" x14ac:dyDescent="0.25">
      <c r="A14" s="35" t="s">
        <v>402</v>
      </c>
      <c r="B14" s="1403" t="s">
        <v>195</v>
      </c>
      <c r="C14" s="66" t="s">
        <v>373</v>
      </c>
      <c r="D14" s="37"/>
      <c r="E14" s="37"/>
      <c r="F14" s="37"/>
      <c r="G14" s="37"/>
      <c r="H14" s="26"/>
      <c r="I14" s="26"/>
      <c r="K14" s="1427">
        <f>+'Hoja Llave'!J39*N5</f>
        <v>5445.3036458333336</v>
      </c>
    </row>
    <row r="15" spans="1:15" x14ac:dyDescent="0.25">
      <c r="B15" s="1403"/>
      <c r="C15" s="1420" t="s">
        <v>7</v>
      </c>
      <c r="D15" s="1420"/>
      <c r="E15" s="1420"/>
      <c r="F15" s="1420"/>
      <c r="G15" s="1420"/>
      <c r="H15" s="1420"/>
      <c r="K15" s="1427"/>
    </row>
    <row r="16" spans="1:15" ht="26.4" x14ac:dyDescent="0.25">
      <c r="A16" s="35" t="s">
        <v>405</v>
      </c>
      <c r="B16" s="4" t="s">
        <v>11</v>
      </c>
      <c r="C16" t="s">
        <v>170</v>
      </c>
      <c r="K16" s="72">
        <f>+'Hoja Llave'!J4</f>
        <v>1.2360515021459226</v>
      </c>
    </row>
    <row r="17" spans="1:11" x14ac:dyDescent="0.25">
      <c r="B17" s="4"/>
    </row>
    <row r="18" spans="1:11" x14ac:dyDescent="0.25">
      <c r="A18" s="35" t="s">
        <v>403</v>
      </c>
      <c r="B18" s="4" t="s">
        <v>197</v>
      </c>
      <c r="C18" s="8" t="s">
        <v>198</v>
      </c>
      <c r="K18" s="72">
        <f>+'Hoja Llave'!J44</f>
        <v>1.0666666666666667</v>
      </c>
    </row>
    <row r="19" spans="1:11" x14ac:dyDescent="0.25">
      <c r="B19" s="4"/>
    </row>
    <row r="20" spans="1:11" x14ac:dyDescent="0.25">
      <c r="A20" s="35" t="s">
        <v>404</v>
      </c>
      <c r="B20" s="4" t="s">
        <v>329</v>
      </c>
      <c r="C20" s="8" t="s">
        <v>196</v>
      </c>
      <c r="K20" s="72">
        <f>+'Hoja Llave'!J30</f>
        <v>6467.8964162485545</v>
      </c>
    </row>
    <row r="21" spans="1:11" x14ac:dyDescent="0.25">
      <c r="B21" s="4"/>
    </row>
    <row r="22" spans="1:11" ht="39.6" x14ac:dyDescent="0.25">
      <c r="A22" s="35" t="s">
        <v>412</v>
      </c>
      <c r="B22" s="4" t="s">
        <v>199</v>
      </c>
      <c r="C22" s="8" t="s">
        <v>200</v>
      </c>
      <c r="K22" s="72">
        <v>2.5</v>
      </c>
    </row>
    <row r="23" spans="1:11" x14ac:dyDescent="0.25">
      <c r="B23" s="4"/>
    </row>
    <row r="24" spans="1:11" x14ac:dyDescent="0.25">
      <c r="B24" s="4"/>
    </row>
    <row r="25" spans="1:11" x14ac:dyDescent="0.25">
      <c r="B25" s="4" t="s">
        <v>201</v>
      </c>
      <c r="C25" s="1423" t="s">
        <v>330</v>
      </c>
      <c r="D25" s="1423"/>
      <c r="E25" s="1423"/>
      <c r="F25" s="45" t="s">
        <v>4</v>
      </c>
      <c r="G25" s="1390" t="str">
        <f>+K30&amp;" . "&amp;K32&amp;" . "&amp;ROUND(K34,4)&amp;" . "&amp;ROUND(K36,4)&amp;" . "&amp;K38&amp;" . "&amp;K42</f>
        <v>0,5793 . 192 . 5445,3036 . 1,2361 . 1,14285714285714 . 3</v>
      </c>
      <c r="H25" s="1390"/>
      <c r="I25" s="1390"/>
      <c r="J25" s="57" t="s">
        <v>4</v>
      </c>
      <c r="K25" s="13">
        <f>+(K30*K32*K34*K36*K38*K42)/(K40)</f>
        <v>264.96001854885003</v>
      </c>
    </row>
    <row r="26" spans="1:11" x14ac:dyDescent="0.25">
      <c r="B26" s="4"/>
      <c r="C26" s="1424" t="s">
        <v>369</v>
      </c>
      <c r="D26" s="1424"/>
      <c r="E26" s="1424"/>
      <c r="F26" s="54"/>
      <c r="G26" s="1404">
        <f>+K40</f>
        <v>9687.155750650114</v>
      </c>
      <c r="H26" s="1404"/>
      <c r="I26" s="1404"/>
      <c r="J26" s="56"/>
    </row>
    <row r="27" spans="1:11" x14ac:dyDescent="0.25">
      <c r="B27" s="4"/>
    </row>
    <row r="28" spans="1:11" x14ac:dyDescent="0.25">
      <c r="B28" s="4" t="s">
        <v>202</v>
      </c>
    </row>
    <row r="29" spans="1:11" x14ac:dyDescent="0.25">
      <c r="B29" s="4"/>
    </row>
    <row r="30" spans="1:11" x14ac:dyDescent="0.25">
      <c r="A30" s="35" t="s">
        <v>400</v>
      </c>
      <c r="B30" s="4" t="s">
        <v>203</v>
      </c>
      <c r="C30" s="8" t="s">
        <v>206</v>
      </c>
      <c r="K30" s="72">
        <f>+'Hoja Llave'!J42</f>
        <v>0.57930000000000004</v>
      </c>
    </row>
    <row r="31" spans="1:11" x14ac:dyDescent="0.25">
      <c r="B31" s="4"/>
    </row>
    <row r="32" spans="1:11" x14ac:dyDescent="0.25">
      <c r="A32" s="35" t="s">
        <v>401</v>
      </c>
      <c r="B32" s="4" t="s">
        <v>174</v>
      </c>
      <c r="C32" s="8" t="s">
        <v>6</v>
      </c>
      <c r="K32" s="10">
        <f>+'Hoja Llave'!J3</f>
        <v>192</v>
      </c>
    </row>
    <row r="33" spans="1:15" x14ac:dyDescent="0.25">
      <c r="B33" s="4"/>
    </row>
    <row r="34" spans="1:15" ht="26.4" x14ac:dyDescent="0.25">
      <c r="A34" s="35" t="s">
        <v>402</v>
      </c>
      <c r="B34" s="4" t="s">
        <v>204</v>
      </c>
      <c r="C34" s="1425" t="s">
        <v>363</v>
      </c>
      <c r="D34" s="1425"/>
      <c r="E34" s="1425"/>
      <c r="F34" s="36" t="str">
        <f>+"("&amp;'Hoja Llave'!J48&amp;"x1,1)"</f>
        <v>(950453x1,1)</v>
      </c>
      <c r="G34" s="36"/>
      <c r="K34" s="72">
        <f>+'Hoja Llave'!J40*N5</f>
        <v>5445.3036458333336</v>
      </c>
    </row>
    <row r="35" spans="1:15" x14ac:dyDescent="0.25">
      <c r="B35" s="4"/>
      <c r="C35" s="1418" t="s">
        <v>207</v>
      </c>
      <c r="D35" s="1418"/>
      <c r="E35" s="1418"/>
      <c r="F35" s="1418"/>
      <c r="G35" s="1418"/>
    </row>
    <row r="36" spans="1:15" ht="26.4" x14ac:dyDescent="0.25">
      <c r="A36" s="35" t="s">
        <v>405</v>
      </c>
      <c r="B36" s="4" t="s">
        <v>175</v>
      </c>
      <c r="C36" s="8" t="s">
        <v>208</v>
      </c>
      <c r="K36" s="10">
        <f>+'Hoja Llave'!J4</f>
        <v>1.2360515021459226</v>
      </c>
    </row>
    <row r="37" spans="1:15" x14ac:dyDescent="0.25">
      <c r="B37" s="4"/>
    </row>
    <row r="38" spans="1:15" x14ac:dyDescent="0.25">
      <c r="A38" s="35" t="s">
        <v>403</v>
      </c>
      <c r="B38" s="4" t="s">
        <v>205</v>
      </c>
      <c r="C38" s="8" t="s">
        <v>198</v>
      </c>
      <c r="K38" s="72">
        <f>+'Hoja Llave'!J45</f>
        <v>1.1428571428571428</v>
      </c>
    </row>
    <row r="39" spans="1:15" x14ac:dyDescent="0.25">
      <c r="B39" s="4"/>
    </row>
    <row r="40" spans="1:15" x14ac:dyDescent="0.25">
      <c r="A40" s="35" t="s">
        <v>404</v>
      </c>
      <c r="B40" s="4" t="s">
        <v>218</v>
      </c>
      <c r="C40" s="8" t="s">
        <v>209</v>
      </c>
      <c r="K40" s="72">
        <f>+'Hoja Llave'!J46</f>
        <v>9687.155750650114</v>
      </c>
    </row>
    <row r="41" spans="1:15" x14ac:dyDescent="0.25">
      <c r="B41" s="4"/>
    </row>
    <row r="42" spans="1:15" ht="39.6" x14ac:dyDescent="0.25">
      <c r="A42" s="35" t="s">
        <v>412</v>
      </c>
      <c r="B42" s="4" t="s">
        <v>210</v>
      </c>
      <c r="C42" s="8" t="s">
        <v>211</v>
      </c>
      <c r="K42" s="72">
        <v>3</v>
      </c>
    </row>
    <row r="43" spans="1:15" x14ac:dyDescent="0.25">
      <c r="B43" s="4"/>
      <c r="C43" s="8"/>
    </row>
    <row r="44" spans="1:15" s="2" customFormat="1" x14ac:dyDescent="0.25">
      <c r="A44" s="59"/>
      <c r="B44" s="4" t="s">
        <v>212</v>
      </c>
      <c r="C44" s="1393" t="s">
        <v>222</v>
      </c>
      <c r="D44" s="1393"/>
      <c r="E44" s="1393"/>
      <c r="F44" s="2" t="s">
        <v>4</v>
      </c>
      <c r="G44" s="1393" t="str">
        <f>+ROUND(K5,4)&amp;" + "&amp;ROUND(K25,4)</f>
        <v>224,1497 + 264,96</v>
      </c>
      <c r="H44" s="1393"/>
      <c r="J44" s="2" t="s">
        <v>4</v>
      </c>
      <c r="K44" s="13"/>
      <c r="N44" s="13">
        <f>+K5+K25</f>
        <v>489.10967933466691</v>
      </c>
      <c r="O44" s="2" t="e">
        <f>+N44/#REF!-1</f>
        <v>#REF!</v>
      </c>
    </row>
    <row r="45" spans="1:15" s="2" customFormat="1" x14ac:dyDescent="0.25">
      <c r="A45" s="59"/>
      <c r="B45" s="4"/>
      <c r="C45" s="4"/>
      <c r="D45" s="4"/>
      <c r="E45" s="4"/>
      <c r="G45" s="4"/>
      <c r="H45" s="4"/>
      <c r="K45" s="13"/>
      <c r="N45" s="13"/>
    </row>
    <row r="46" spans="1:15" s="2" customFormat="1" x14ac:dyDescent="0.25">
      <c r="A46" s="59"/>
      <c r="B46" s="70" t="s">
        <v>392</v>
      </c>
      <c r="C46" s="4"/>
      <c r="D46" s="4"/>
      <c r="E46" s="4"/>
      <c r="G46" s="4"/>
      <c r="H46" s="4"/>
      <c r="K46" s="13"/>
      <c r="N46" s="13"/>
    </row>
    <row r="47" spans="1:15" s="2" customFormat="1" x14ac:dyDescent="0.25">
      <c r="A47" s="59"/>
      <c r="B47" s="4"/>
      <c r="C47" s="4"/>
      <c r="D47" s="4"/>
      <c r="E47" s="4"/>
      <c r="G47" s="4"/>
      <c r="H47" s="4"/>
      <c r="K47" s="13"/>
      <c r="N47" s="13"/>
    </row>
    <row r="48" spans="1:15" x14ac:dyDescent="0.25">
      <c r="A48" s="35" t="s">
        <v>401</v>
      </c>
      <c r="B48" s="4" t="s">
        <v>387</v>
      </c>
      <c r="C48" s="1390" t="s">
        <v>388</v>
      </c>
      <c r="D48" s="1390"/>
      <c r="E48" s="1390"/>
      <c r="K48" s="10">
        <f>+(K10*1940*N5*K22)/K20</f>
        <v>0.31546500882020151</v>
      </c>
      <c r="L48" s="2"/>
    </row>
    <row r="49" spans="1:15" x14ac:dyDescent="0.25">
      <c r="B49" s="4"/>
      <c r="C49" s="1393" t="s">
        <v>329</v>
      </c>
      <c r="D49" s="1393"/>
      <c r="E49" s="1393"/>
    </row>
    <row r="50" spans="1:15" x14ac:dyDescent="0.25">
      <c r="B50" s="4"/>
    </row>
    <row r="51" spans="1:15" x14ac:dyDescent="0.25">
      <c r="B51" s="4" t="s">
        <v>389</v>
      </c>
      <c r="C51" s="1390" t="s">
        <v>390</v>
      </c>
      <c r="D51" s="1390"/>
      <c r="E51" s="1390"/>
      <c r="K51" s="10">
        <f>+(K30*2336*N5*K42)/K40</f>
        <v>0.41908424975282843</v>
      </c>
      <c r="L51" s="2"/>
    </row>
    <row r="52" spans="1:15" x14ac:dyDescent="0.25">
      <c r="B52" s="4"/>
      <c r="C52" s="1393" t="s">
        <v>391</v>
      </c>
      <c r="D52" s="1393"/>
      <c r="E52" s="1393"/>
    </row>
    <row r="53" spans="1:15" x14ac:dyDescent="0.25">
      <c r="B53" s="4"/>
      <c r="C53" s="4"/>
      <c r="D53" s="4"/>
      <c r="E53" s="4"/>
    </row>
    <row r="54" spans="1:15" x14ac:dyDescent="0.25">
      <c r="B54" s="4" t="s">
        <v>386</v>
      </c>
      <c r="C54" s="4"/>
      <c r="D54" s="4"/>
      <c r="E54" s="4"/>
      <c r="N54" s="13">
        <f>+K51+K48</f>
        <v>0.73454925857303</v>
      </c>
      <c r="O54" s="2" t="e">
        <f>+N54/#REF!-1</f>
        <v>#REF!</v>
      </c>
    </row>
    <row r="55" spans="1:15" x14ac:dyDescent="0.25">
      <c r="B55" s="4"/>
      <c r="C55" s="4"/>
      <c r="D55" s="4"/>
      <c r="E55" s="4"/>
    </row>
    <row r="56" spans="1:15" x14ac:dyDescent="0.25">
      <c r="B56" s="4"/>
    </row>
    <row r="57" spans="1:15" s="2" customFormat="1" ht="26.4" x14ac:dyDescent="0.25">
      <c r="A57" s="59" t="s">
        <v>409</v>
      </c>
      <c r="B57" s="5" t="s">
        <v>8</v>
      </c>
      <c r="C57" s="6" t="s">
        <v>9</v>
      </c>
      <c r="D57" s="6"/>
      <c r="E57" s="6"/>
      <c r="F57" s="6"/>
      <c r="G57" s="7" t="s">
        <v>23</v>
      </c>
      <c r="H57" s="6"/>
      <c r="I57" s="6"/>
      <c r="J57" s="6"/>
      <c r="K57" s="18"/>
      <c r="L57" s="6"/>
      <c r="M57" s="6"/>
      <c r="N57" s="76">
        <f>+N91</f>
        <v>16.087256693361873</v>
      </c>
      <c r="O57" s="2" t="e">
        <f>+N57/#REF!-1</f>
        <v>#REF!</v>
      </c>
    </row>
    <row r="59" spans="1:15" s="2" customFormat="1" x14ac:dyDescent="0.25">
      <c r="A59" s="59"/>
      <c r="B59" s="1403" t="s">
        <v>10</v>
      </c>
      <c r="C59" s="1390" t="s">
        <v>213</v>
      </c>
      <c r="D59" s="1390"/>
      <c r="E59" s="1403" t="s">
        <v>4</v>
      </c>
      <c r="F59" s="1421" t="str">
        <f>+K65&amp;" . "&amp;K67&amp;" . "&amp;ROUND(K69,2)&amp;" . "&amp;K71</f>
        <v>0,4207 . 10 . 5445,3 . 1,6</v>
      </c>
      <c r="G59" s="1421"/>
      <c r="H59" s="1421"/>
      <c r="I59" s="1421"/>
      <c r="J59" s="1403" t="s">
        <v>4</v>
      </c>
      <c r="K59" s="13">
        <f>+K67*K69*K71*K65/K73</f>
        <v>5.6669781860997555</v>
      </c>
      <c r="L59" s="2" t="e">
        <f>+K59/#REF!-1</f>
        <v>#REF!</v>
      </c>
    </row>
    <row r="60" spans="1:15" s="2" customFormat="1" x14ac:dyDescent="0.25">
      <c r="A60" s="59"/>
      <c r="B60" s="1403"/>
      <c r="C60" s="1393" t="s">
        <v>329</v>
      </c>
      <c r="D60" s="1393"/>
      <c r="E60" s="1403"/>
      <c r="F60" s="1399">
        <f>+K73</f>
        <v>6467.8964162485545</v>
      </c>
      <c r="G60" s="1399"/>
      <c r="H60" s="1399"/>
      <c r="I60" s="1399"/>
      <c r="J60" s="1403"/>
      <c r="K60" s="13"/>
      <c r="N60" s="13"/>
    </row>
    <row r="63" spans="1:15" x14ac:dyDescent="0.25">
      <c r="B63" s="8" t="s">
        <v>5</v>
      </c>
    </row>
    <row r="65" spans="1:11" x14ac:dyDescent="0.25">
      <c r="A65" s="35" t="s">
        <v>400</v>
      </c>
      <c r="B65" s="4" t="s">
        <v>193</v>
      </c>
      <c r="C65" s="8" t="s">
        <v>194</v>
      </c>
      <c r="K65" s="10">
        <f>+'Hoja Llave'!J41</f>
        <v>0.42070000000000002</v>
      </c>
    </row>
    <row r="67" spans="1:11" x14ac:dyDescent="0.25">
      <c r="A67" s="35" t="s">
        <v>401</v>
      </c>
      <c r="B67" s="4" t="s">
        <v>214</v>
      </c>
      <c r="C67" s="8" t="s">
        <v>332</v>
      </c>
      <c r="K67" s="72">
        <f>+'Hoja Llave'!J37</f>
        <v>10</v>
      </c>
    </row>
    <row r="69" spans="1:11" ht="26.4" x14ac:dyDescent="0.25">
      <c r="A69" s="35" t="s">
        <v>402</v>
      </c>
      <c r="B69" s="1403" t="s">
        <v>195</v>
      </c>
      <c r="C69" s="36" t="s">
        <v>365</v>
      </c>
      <c r="D69" s="37"/>
      <c r="E69" s="37"/>
      <c r="F69" s="37"/>
      <c r="G69" s="37"/>
      <c r="H69" s="36" t="str">
        <f>+"("&amp;'Hoja Llave'!J32&amp;"x1,1)"</f>
        <v>(950453x1,1)</v>
      </c>
      <c r="I69" s="26"/>
      <c r="K69" s="1419">
        <f>+'Hoja Llave'!J39*N5</f>
        <v>5445.3036458333336</v>
      </c>
    </row>
    <row r="70" spans="1:11" x14ac:dyDescent="0.25">
      <c r="B70" s="1403"/>
      <c r="C70" s="1420" t="s">
        <v>7</v>
      </c>
      <c r="D70" s="1420"/>
      <c r="E70" s="1420"/>
      <c r="F70" s="1420"/>
      <c r="G70" s="1420"/>
      <c r="H70" s="1420"/>
      <c r="K70" s="1419"/>
    </row>
    <row r="71" spans="1:11" x14ac:dyDescent="0.25">
      <c r="A71" s="35" t="s">
        <v>403</v>
      </c>
      <c r="B71" s="4" t="s">
        <v>215</v>
      </c>
      <c r="C71" t="s">
        <v>13</v>
      </c>
      <c r="K71" s="72">
        <f>+'Hoja Llave'!J38</f>
        <v>1.6</v>
      </c>
    </row>
    <row r="72" spans="1:11" x14ac:dyDescent="0.25">
      <c r="B72" s="4"/>
    </row>
    <row r="73" spans="1:11" x14ac:dyDescent="0.25">
      <c r="A73" s="35" t="s">
        <v>404</v>
      </c>
      <c r="B73" s="4" t="s">
        <v>329</v>
      </c>
      <c r="C73" s="8" t="s">
        <v>216</v>
      </c>
      <c r="K73" s="74">
        <f>+K20</f>
        <v>6467.8964162485545</v>
      </c>
    </row>
    <row r="74" spans="1:11" x14ac:dyDescent="0.25">
      <c r="B74" s="4"/>
      <c r="C74" s="8"/>
    </row>
    <row r="75" spans="1:11" x14ac:dyDescent="0.25">
      <c r="B75" s="4"/>
    </row>
    <row r="76" spans="1:11" x14ac:dyDescent="0.25">
      <c r="A76" s="35"/>
      <c r="B76" s="4" t="s">
        <v>328</v>
      </c>
      <c r="C76" s="1390" t="s">
        <v>217</v>
      </c>
      <c r="D76" s="1390"/>
      <c r="E76" s="1390"/>
      <c r="F76" s="54" t="s">
        <v>4</v>
      </c>
      <c r="G76" s="1390" t="str">
        <f>+K81&amp;" . "&amp;K83&amp;" . "&amp;ROUND(K85,4)&amp;" . "&amp;K87</f>
        <v>0,5793 . 20 . 5445,3036 . 1,6</v>
      </c>
      <c r="H76" s="1390"/>
      <c r="I76" s="1390"/>
      <c r="J76" s="54" t="s">
        <v>4</v>
      </c>
      <c r="K76" s="13">
        <f>+(K81*K83*K85*K87)/K89</f>
        <v>10.420278507262118</v>
      </c>
    </row>
    <row r="77" spans="1:11" x14ac:dyDescent="0.25">
      <c r="B77" s="4"/>
      <c r="C77" s="1402" t="s">
        <v>218</v>
      </c>
      <c r="D77" s="1402"/>
      <c r="E77" s="1402"/>
      <c r="F77" s="54"/>
      <c r="G77" s="1404">
        <f>+K89</f>
        <v>9687.155750650114</v>
      </c>
      <c r="H77" s="1404"/>
      <c r="I77" s="1404"/>
      <c r="J77" s="56"/>
    </row>
    <row r="78" spans="1:11" x14ac:dyDescent="0.25">
      <c r="B78" s="4"/>
    </row>
    <row r="79" spans="1:11" x14ac:dyDescent="0.25">
      <c r="B79" s="4" t="s">
        <v>202</v>
      </c>
    </row>
    <row r="80" spans="1:11" x14ac:dyDescent="0.25">
      <c r="B80" s="4"/>
    </row>
    <row r="81" spans="1:15" x14ac:dyDescent="0.25">
      <c r="A81" s="35" t="s">
        <v>400</v>
      </c>
      <c r="B81" s="4" t="s">
        <v>203</v>
      </c>
      <c r="C81" s="8" t="s">
        <v>206</v>
      </c>
      <c r="K81" s="10">
        <f>+'Hoja Llave'!J42</f>
        <v>0.57930000000000004</v>
      </c>
    </row>
    <row r="82" spans="1:15" x14ac:dyDescent="0.25">
      <c r="B82" s="4"/>
    </row>
    <row r="83" spans="1:15" x14ac:dyDescent="0.25">
      <c r="A83" s="35" t="s">
        <v>401</v>
      </c>
      <c r="B83" s="4" t="s">
        <v>331</v>
      </c>
      <c r="C83" s="8" t="s">
        <v>378</v>
      </c>
      <c r="K83" s="72">
        <f>+'Hoja Llave'!J47</f>
        <v>20</v>
      </c>
    </row>
    <row r="84" spans="1:15" x14ac:dyDescent="0.25">
      <c r="B84" s="4"/>
    </row>
    <row r="85" spans="1:15" ht="26.4" x14ac:dyDescent="0.25">
      <c r="A85" s="35" t="s">
        <v>402</v>
      </c>
      <c r="B85" s="4" t="s">
        <v>204</v>
      </c>
      <c r="C85" s="36" t="s">
        <v>364</v>
      </c>
      <c r="D85" s="36"/>
      <c r="E85" s="36" t="str">
        <f>+"("&amp;'Hoja Llave'!J48&amp;"x1,1)"</f>
        <v>(950453x1,1)</v>
      </c>
      <c r="G85" s="55"/>
      <c r="K85" s="10">
        <f>+'Hoja Llave'!J40*N5</f>
        <v>5445.3036458333336</v>
      </c>
    </row>
    <row r="86" spans="1:15" x14ac:dyDescent="0.25">
      <c r="B86" s="4"/>
      <c r="C86" s="1418" t="s">
        <v>207</v>
      </c>
      <c r="D86" s="1418"/>
      <c r="E86" s="1418"/>
      <c r="F86" s="55"/>
      <c r="G86" s="55"/>
    </row>
    <row r="87" spans="1:15" x14ac:dyDescent="0.25">
      <c r="A87" s="35" t="s">
        <v>403</v>
      </c>
      <c r="B87" s="4" t="s">
        <v>219</v>
      </c>
      <c r="C87" s="8" t="s">
        <v>13</v>
      </c>
      <c r="K87" s="72">
        <f>+'Hoja Llave'!J38</f>
        <v>1.6</v>
      </c>
    </row>
    <row r="88" spans="1:15" x14ac:dyDescent="0.25">
      <c r="B88" s="4"/>
    </row>
    <row r="89" spans="1:15" x14ac:dyDescent="0.25">
      <c r="A89" s="35" t="s">
        <v>404</v>
      </c>
      <c r="B89" s="4" t="s">
        <v>218</v>
      </c>
      <c r="C89" s="8" t="s">
        <v>209</v>
      </c>
      <c r="K89" s="74">
        <f>+K40</f>
        <v>9687.155750650114</v>
      </c>
    </row>
    <row r="90" spans="1:15" x14ac:dyDescent="0.25">
      <c r="B90" s="4"/>
    </row>
    <row r="91" spans="1:15" s="2" customFormat="1" x14ac:dyDescent="0.25">
      <c r="A91" s="35"/>
      <c r="B91" s="4" t="s">
        <v>220</v>
      </c>
      <c r="C91" s="1393" t="s">
        <v>221</v>
      </c>
      <c r="D91" s="1393"/>
      <c r="E91" s="1393"/>
      <c r="F91" s="2" t="s">
        <v>4</v>
      </c>
      <c r="G91" s="1398" t="str">
        <f>+ROUND(K59,4)&amp;" + "&amp;ROUND(K76,4)</f>
        <v>5,667 + 10,4203</v>
      </c>
      <c r="H91" s="1393"/>
      <c r="I91" s="1393"/>
      <c r="J91" s="2" t="s">
        <v>4</v>
      </c>
      <c r="K91" s="13"/>
      <c r="N91" s="13">
        <f>+K76+K59</f>
        <v>16.087256693361873</v>
      </c>
    </row>
    <row r="92" spans="1:15" x14ac:dyDescent="0.25">
      <c r="B92" s="4"/>
    </row>
    <row r="94" spans="1:15" s="2" customFormat="1" x14ac:dyDescent="0.25">
      <c r="A94" s="59"/>
      <c r="B94" s="5" t="s">
        <v>14</v>
      </c>
      <c r="C94" s="6" t="s">
        <v>399</v>
      </c>
      <c r="D94" s="6"/>
      <c r="E94" s="6"/>
      <c r="F94" s="6"/>
      <c r="G94" s="7" t="s">
        <v>22</v>
      </c>
      <c r="H94" s="6"/>
      <c r="I94" s="6"/>
      <c r="J94" s="6"/>
      <c r="K94" s="18"/>
      <c r="L94" s="6"/>
      <c r="M94" s="6"/>
      <c r="N94" s="76">
        <f>+N96+N98</f>
        <v>146.95326857797198</v>
      </c>
      <c r="O94" s="2" t="e">
        <f>+N94/#REF!-1</f>
        <v>#REF!</v>
      </c>
    </row>
    <row r="96" spans="1:15" s="2" customFormat="1" ht="26.4" x14ac:dyDescent="0.25">
      <c r="A96" s="59" t="s">
        <v>408</v>
      </c>
      <c r="B96" s="4" t="s">
        <v>16</v>
      </c>
      <c r="C96" s="1393" t="s">
        <v>17</v>
      </c>
      <c r="D96" s="1393"/>
      <c r="E96" s="4" t="s">
        <v>4</v>
      </c>
      <c r="F96" s="1393" t="str">
        <f>+ROUND(B103,4)&amp;" . "&amp;"("&amp;ROUND(N44,4)&amp;" + "&amp;ROUND(N91,4)&amp;")"</f>
        <v>0,3 . (489,1097 + 16,0873)</v>
      </c>
      <c r="G96" s="1393"/>
      <c r="H96" s="1393"/>
      <c r="I96" s="1393"/>
      <c r="J96" s="14" t="s">
        <v>4</v>
      </c>
      <c r="K96" s="13"/>
      <c r="N96" s="13">
        <f>+B103*(N44)</f>
        <v>146.73290380040007</v>
      </c>
    </row>
    <row r="97" spans="1:15" s="2" customFormat="1" x14ac:dyDescent="0.25">
      <c r="A97" s="59"/>
      <c r="B97" s="4"/>
      <c r="C97" s="4"/>
      <c r="D97" s="4"/>
      <c r="E97" s="4"/>
      <c r="F97" s="4"/>
      <c r="G97" s="4"/>
      <c r="H97" s="4"/>
      <c r="I97" s="4"/>
      <c r="J97" s="14"/>
      <c r="K97" s="13"/>
      <c r="N97" s="13"/>
    </row>
    <row r="98" spans="1:15" s="2" customFormat="1" x14ac:dyDescent="0.25">
      <c r="A98" s="59"/>
      <c r="B98" s="4" t="s">
        <v>393</v>
      </c>
      <c r="C98" s="1403" t="s">
        <v>394</v>
      </c>
      <c r="D98" s="1403"/>
      <c r="E98" s="4" t="s">
        <v>4</v>
      </c>
      <c r="F98" s="4"/>
      <c r="G98" s="4"/>
      <c r="H98" s="4"/>
      <c r="I98" s="4"/>
      <c r="J98" s="14"/>
      <c r="K98" s="13"/>
      <c r="N98" s="13">
        <f>0.3*(N54)</f>
        <v>0.220364777571909</v>
      </c>
    </row>
    <row r="101" spans="1:15" x14ac:dyDescent="0.25">
      <c r="B101" s="8" t="s">
        <v>5</v>
      </c>
    </row>
    <row r="102" spans="1:15" x14ac:dyDescent="0.25">
      <c r="C102" s="8"/>
    </row>
    <row r="103" spans="1:15" ht="39.6" x14ac:dyDescent="0.25">
      <c r="A103" s="35" t="s">
        <v>407</v>
      </c>
      <c r="B103" s="1403">
        <v>0.3</v>
      </c>
      <c r="C103" s="1406" t="s">
        <v>190</v>
      </c>
      <c r="D103" s="1408"/>
      <c r="E103" s="1408"/>
      <c r="F103" s="1408"/>
      <c r="G103" s="1408"/>
      <c r="H103" s="1408"/>
      <c r="I103" s="1408"/>
      <c r="J103" s="1408"/>
      <c r="K103" s="1408"/>
      <c r="L103" s="1408"/>
      <c r="M103" s="1408"/>
      <c r="N103" s="1408"/>
    </row>
    <row r="104" spans="1:15" x14ac:dyDescent="0.25">
      <c r="B104" s="1403"/>
      <c r="C104" s="1408"/>
      <c r="D104" s="1408"/>
      <c r="E104" s="1408"/>
      <c r="F104" s="1408"/>
      <c r="G104" s="1408"/>
      <c r="H104" s="1408"/>
      <c r="I104" s="1408"/>
      <c r="J104" s="1408"/>
      <c r="K104" s="1408"/>
      <c r="L104" s="1408"/>
      <c r="M104" s="1408"/>
      <c r="N104" s="1408"/>
    </row>
    <row r="107" spans="1:15" s="2" customFormat="1" x14ac:dyDescent="0.25">
      <c r="A107" s="59"/>
      <c r="B107" s="5" t="s">
        <v>19</v>
      </c>
      <c r="C107" s="6" t="s">
        <v>20</v>
      </c>
      <c r="D107" s="6"/>
      <c r="E107" s="6"/>
      <c r="F107" s="6"/>
      <c r="G107" s="7" t="s">
        <v>21</v>
      </c>
      <c r="H107" s="6"/>
      <c r="I107" s="6"/>
      <c r="J107" s="6"/>
      <c r="K107" s="18"/>
      <c r="L107" s="6"/>
      <c r="M107" s="6"/>
      <c r="N107" s="11"/>
    </row>
    <row r="110" spans="1:15" s="2" customFormat="1" x14ac:dyDescent="0.25">
      <c r="A110" s="59"/>
      <c r="B110" s="2" t="s">
        <v>25</v>
      </c>
      <c r="C110" s="2" t="s">
        <v>26</v>
      </c>
      <c r="E110" s="2" t="s">
        <v>4</v>
      </c>
      <c r="F110" s="1393" t="str">
        <f>+ROUND(J116+J125,4)&amp;" . "&amp;"("&amp;ROUND(N44,4)&amp;" + "&amp;ROUND(N91,4)&amp;"  + "&amp;ROUND(N96,4)&amp;")"</f>
        <v>0,3328 . (489,1097 + 16,0873  + 146,7329)</v>
      </c>
      <c r="G110" s="1393"/>
      <c r="H110" s="1393"/>
      <c r="I110" s="1393"/>
      <c r="J110" s="4" t="s">
        <v>4</v>
      </c>
      <c r="K110" s="13"/>
      <c r="N110" s="78">
        <f>+(J121+J125)*(N44+N91+N96)</f>
        <v>176.21120295695906</v>
      </c>
      <c r="O110" s="2" t="e">
        <f>+N110/#REF!-1</f>
        <v>#REF!</v>
      </c>
    </row>
    <row r="113" spans="1:15" x14ac:dyDescent="0.25">
      <c r="B113" s="8" t="s">
        <v>5</v>
      </c>
    </row>
    <row r="114" spans="1:15" x14ac:dyDescent="0.25">
      <c r="J114" s="16"/>
    </row>
    <row r="115" spans="1:15" x14ac:dyDescent="0.25">
      <c r="B115" s="4" t="s">
        <v>27</v>
      </c>
      <c r="C115" t="s">
        <v>28</v>
      </c>
    </row>
    <row r="116" spans="1:15" x14ac:dyDescent="0.25">
      <c r="C116" s="2" t="s">
        <v>29</v>
      </c>
      <c r="J116" s="77">
        <f>1/12</f>
        <v>8.3333333333333329E-2</v>
      </c>
    </row>
    <row r="117" spans="1:15" x14ac:dyDescent="0.25">
      <c r="C117" t="s">
        <v>30</v>
      </c>
      <c r="F117" s="3">
        <v>0.02</v>
      </c>
      <c r="H117" s="16">
        <f>+$J$116*F117</f>
        <v>1.6666666666666666E-3</v>
      </c>
    </row>
    <row r="118" spans="1:15" x14ac:dyDescent="0.25">
      <c r="C118" s="8" t="s">
        <v>377</v>
      </c>
      <c r="F118" s="3">
        <v>5.33E-2</v>
      </c>
      <c r="H118" s="16">
        <f>+$J$116*F118</f>
        <v>4.4416666666666667E-3</v>
      </c>
    </row>
    <row r="119" spans="1:15" x14ac:dyDescent="0.25">
      <c r="C119" t="s">
        <v>32</v>
      </c>
      <c r="F119" s="3">
        <v>0.06</v>
      </c>
      <c r="H119" s="16">
        <f>+$J$116*F119</f>
        <v>4.9999999999999992E-3</v>
      </c>
    </row>
    <row r="120" spans="1:15" x14ac:dyDescent="0.25">
      <c r="C120" t="s">
        <v>33</v>
      </c>
      <c r="F120" s="3">
        <v>0.1162</v>
      </c>
      <c r="H120" s="16">
        <f>+$J$116*F120</f>
        <v>9.683333333333332E-3</v>
      </c>
    </row>
    <row r="121" spans="1:15" x14ac:dyDescent="0.25">
      <c r="C121" s="2" t="s">
        <v>34</v>
      </c>
      <c r="J121" s="79">
        <f>SUM(H117:H120)</f>
        <v>2.0791666666666667E-2</v>
      </c>
      <c r="K121" s="114"/>
    </row>
    <row r="122" spans="1:15" x14ac:dyDescent="0.25">
      <c r="C122" t="s">
        <v>30</v>
      </c>
      <c r="H122" s="15">
        <v>0.02</v>
      </c>
    </row>
    <row r="123" spans="1:15" x14ac:dyDescent="0.25">
      <c r="C123" t="s">
        <v>31</v>
      </c>
      <c r="H123" s="15">
        <v>5.33E-2</v>
      </c>
    </row>
    <row r="124" spans="1:15" x14ac:dyDescent="0.25">
      <c r="C124" t="s">
        <v>32</v>
      </c>
      <c r="H124" s="15">
        <v>0.06</v>
      </c>
    </row>
    <row r="125" spans="1:15" x14ac:dyDescent="0.25">
      <c r="C125" t="s">
        <v>33</v>
      </c>
      <c r="H125" s="15">
        <v>0.1162</v>
      </c>
      <c r="J125" s="77">
        <f>SUM(H122:H125)</f>
        <v>0.2495</v>
      </c>
    </row>
    <row r="128" spans="1:15" s="2" customFormat="1" x14ac:dyDescent="0.25">
      <c r="A128" s="59"/>
      <c r="B128" s="5" t="s">
        <v>35</v>
      </c>
      <c r="C128" s="6" t="s">
        <v>36</v>
      </c>
      <c r="D128" s="6"/>
      <c r="E128" s="6"/>
      <c r="F128" s="6"/>
      <c r="G128" s="7" t="s">
        <v>52</v>
      </c>
      <c r="H128" s="6"/>
      <c r="I128" s="6"/>
      <c r="J128" s="6"/>
      <c r="K128" s="18"/>
      <c r="L128" s="6"/>
      <c r="M128" s="6"/>
      <c r="N128" s="11">
        <f>+N153</f>
        <v>18.891109009002314</v>
      </c>
      <c r="O128" s="2" t="e">
        <f>+N128/#REF!-1</f>
        <v>#REF!</v>
      </c>
    </row>
    <row r="130" spans="1:14" ht="52.8" x14ac:dyDescent="0.25">
      <c r="A130" s="35" t="s">
        <v>410</v>
      </c>
      <c r="B130" s="1408" t="s">
        <v>37</v>
      </c>
      <c r="C130" s="1408"/>
      <c r="D130" s="1408"/>
      <c r="E130" s="1408"/>
      <c r="F130" s="1408"/>
      <c r="G130" s="1408"/>
      <c r="H130" s="1408"/>
      <c r="I130" s="1408"/>
      <c r="J130" s="1408"/>
      <c r="K130" s="1408"/>
      <c r="L130" s="1408"/>
      <c r="M130" s="1408"/>
      <c r="N130" s="1408"/>
    </row>
    <row r="131" spans="1:14" x14ac:dyDescent="0.25">
      <c r="B131" s="1408"/>
      <c r="C131" s="1408"/>
      <c r="D131" s="1408"/>
      <c r="E131" s="1408"/>
      <c r="F131" s="1408"/>
      <c r="G131" s="1408"/>
      <c r="H131" s="1408"/>
      <c r="I131" s="1408"/>
      <c r="J131" s="1408"/>
      <c r="K131" s="1408"/>
      <c r="L131" s="1408"/>
      <c r="M131" s="1408"/>
      <c r="N131" s="1408"/>
    </row>
    <row r="133" spans="1:14" x14ac:dyDescent="0.25">
      <c r="B133" s="2" t="s">
        <v>38</v>
      </c>
    </row>
    <row r="135" spans="1:14" s="2" customFormat="1" x14ac:dyDescent="0.25">
      <c r="A135" s="59"/>
      <c r="B135" s="1403" t="s">
        <v>39</v>
      </c>
      <c r="C135" s="1390" t="s">
        <v>40</v>
      </c>
      <c r="D135" s="1390"/>
      <c r="E135" s="1403" t="s">
        <v>4</v>
      </c>
      <c r="F135" s="1390" t="str">
        <f>0.75&amp;" . "&amp;ROUND(K141,2)</f>
        <v>0,75 . 451812,74</v>
      </c>
      <c r="G135" s="1390"/>
      <c r="H135" s="1390"/>
      <c r="I135" s="1390"/>
      <c r="J135" s="1403" t="s">
        <v>4</v>
      </c>
      <c r="K135" s="1417">
        <f>(0.75*K141)/(12*(K143*K145+(K147*K149)))</f>
        <v>2.9710355220089787E-2</v>
      </c>
    </row>
    <row r="136" spans="1:14" s="2" customFormat="1" x14ac:dyDescent="0.25">
      <c r="A136" s="59"/>
      <c r="B136" s="1403"/>
      <c r="C136" s="1393" t="s">
        <v>223</v>
      </c>
      <c r="D136" s="1393"/>
      <c r="E136" s="1403"/>
      <c r="F136" s="1402" t="str">
        <f>12&amp;" . "&amp;"("&amp;ROUND(K143,4)&amp;" . "&amp;ROUND(K145,4)&amp;" + "&amp;ROUND(K147,4)&amp;" . "&amp;ROUND(K149,4)&amp;")"</f>
        <v>12 . (0,4207 . 950453 + 0,5793 . 950453)</v>
      </c>
      <c r="G136" s="1402"/>
      <c r="H136" s="1402"/>
      <c r="I136" s="1402"/>
      <c r="J136" s="1403"/>
      <c r="K136" s="1417"/>
      <c r="N136" s="13"/>
    </row>
    <row r="139" spans="1:14" x14ac:dyDescent="0.25">
      <c r="B139" s="8" t="s">
        <v>5</v>
      </c>
    </row>
    <row r="141" spans="1:14" x14ac:dyDescent="0.25">
      <c r="B141" s="4" t="s">
        <v>41</v>
      </c>
      <c r="C141" s="8" t="s">
        <v>225</v>
      </c>
      <c r="K141" s="108">
        <f>+'Hoja Llave'!J5*N5</f>
        <v>451812.74</v>
      </c>
    </row>
    <row r="142" spans="1:14" x14ac:dyDescent="0.25">
      <c r="B142" s="4"/>
    </row>
    <row r="143" spans="1:14" x14ac:dyDescent="0.25">
      <c r="B143" s="4" t="s">
        <v>193</v>
      </c>
      <c r="C143" s="8" t="s">
        <v>194</v>
      </c>
      <c r="K143" s="10">
        <f>+'Hoja Llave'!J41</f>
        <v>0.42070000000000002</v>
      </c>
    </row>
    <row r="144" spans="1:14" x14ac:dyDescent="0.25">
      <c r="B144" s="4"/>
    </row>
    <row r="145" spans="1:15" x14ac:dyDescent="0.25">
      <c r="B145" s="4" t="s">
        <v>42</v>
      </c>
      <c r="C145" s="8" t="s">
        <v>226</v>
      </c>
      <c r="K145" s="72">
        <f>+'Hoja Llave'!J32*N5</f>
        <v>950453</v>
      </c>
    </row>
    <row r="146" spans="1:15" x14ac:dyDescent="0.25">
      <c r="B146" s="4"/>
    </row>
    <row r="147" spans="1:15" x14ac:dyDescent="0.25">
      <c r="B147" s="4" t="s">
        <v>203</v>
      </c>
      <c r="C147" s="8" t="s">
        <v>206</v>
      </c>
      <c r="K147" s="10">
        <f>+'Hoja Llave'!J42</f>
        <v>0.57930000000000004</v>
      </c>
    </row>
    <row r="148" spans="1:15" x14ac:dyDescent="0.25">
      <c r="B148" s="4"/>
    </row>
    <row r="149" spans="1:15" x14ac:dyDescent="0.25">
      <c r="B149" s="4" t="s">
        <v>224</v>
      </c>
      <c r="C149" s="8" t="s">
        <v>227</v>
      </c>
      <c r="K149" s="72">
        <f>+'Hoja Llave'!J48*N5</f>
        <v>950453</v>
      </c>
    </row>
    <row r="150" spans="1:15" x14ac:dyDescent="0.25">
      <c r="B150" s="4"/>
    </row>
    <row r="151" spans="1:15" x14ac:dyDescent="0.25">
      <c r="B151" s="2" t="s">
        <v>43</v>
      </c>
    </row>
    <row r="153" spans="1:15" s="2" customFormat="1" x14ac:dyDescent="0.25">
      <c r="A153" s="59"/>
      <c r="B153" s="4" t="s">
        <v>44</v>
      </c>
      <c r="C153" s="1393" t="s">
        <v>45</v>
      </c>
      <c r="D153" s="1393"/>
      <c r="E153" s="4" t="s">
        <v>4</v>
      </c>
      <c r="F153" s="1393" t="str">
        <f>+ROUND(K135,4)&amp;" . "&amp;"("&amp;ROUND(N44,4)&amp;" + "&amp;ROUND(N91,4)&amp;")"</f>
        <v>0,0297 . (489,1097 + 16,0873)</v>
      </c>
      <c r="G153" s="1393"/>
      <c r="H153" s="1393"/>
      <c r="I153" s="1393"/>
      <c r="J153" s="4" t="s">
        <v>4</v>
      </c>
      <c r="K153" s="13"/>
      <c r="N153" s="80">
        <f>+K135*(N44+N96)</f>
        <v>18.891109009002314</v>
      </c>
      <c r="O153" s="2" t="e">
        <f>+N153/#REF!-1</f>
        <v>#REF!</v>
      </c>
    </row>
    <row r="154" spans="1:15" s="2" customFormat="1" x14ac:dyDescent="0.25">
      <c r="A154" s="59"/>
      <c r="B154" s="4"/>
      <c r="C154" s="4"/>
      <c r="D154" s="4"/>
      <c r="E154" s="4"/>
      <c r="F154" s="4"/>
      <c r="G154" s="4"/>
      <c r="H154" s="4"/>
      <c r="I154" s="4"/>
      <c r="J154" s="4"/>
      <c r="K154" s="13"/>
      <c r="N154" s="13"/>
    </row>
    <row r="156" spans="1:15" x14ac:dyDescent="0.25">
      <c r="B156" s="5" t="s">
        <v>46</v>
      </c>
      <c r="C156" s="6" t="s">
        <v>228</v>
      </c>
      <c r="D156" s="6"/>
      <c r="E156" s="6"/>
      <c r="F156" s="6"/>
      <c r="G156" s="7" t="s">
        <v>53</v>
      </c>
      <c r="H156" s="6"/>
      <c r="I156" s="6"/>
      <c r="J156" s="6"/>
      <c r="K156" s="18"/>
      <c r="L156" s="6"/>
      <c r="M156" s="6"/>
      <c r="N156" s="11"/>
    </row>
    <row r="158" spans="1:15" ht="39.6" x14ac:dyDescent="0.25">
      <c r="A158" s="35" t="s">
        <v>411</v>
      </c>
      <c r="C158" s="8" t="s">
        <v>370</v>
      </c>
      <c r="H158" s="9">
        <v>0.18</v>
      </c>
    </row>
    <row r="160" spans="1:15" x14ac:dyDescent="0.25">
      <c r="B160" s="2" t="s">
        <v>229</v>
      </c>
      <c r="C160" s="1393" t="s">
        <v>371</v>
      </c>
      <c r="D160" s="1393"/>
      <c r="E160" s="4" t="s">
        <v>4</v>
      </c>
      <c r="F160" s="1393" t="str">
        <f>+H158&amp;" . "&amp;"("&amp;ROUND(N44,4)&amp;" + "&amp;ROUND(N91,4)&amp;")"</f>
        <v>0,18 . (489,1097 + 16,0873)</v>
      </c>
      <c r="G160" s="1393"/>
      <c r="H160" s="1393"/>
      <c r="I160" s="1393"/>
      <c r="J160" s="4" t="s">
        <v>4</v>
      </c>
      <c r="K160" s="13"/>
      <c r="L160" s="2"/>
      <c r="M160" s="2"/>
      <c r="N160" s="80">
        <f>+H158*(N44+N91)</f>
        <v>90.935448485045185</v>
      </c>
      <c r="O160" s="2" t="e">
        <f>+N160/#REF!-1</f>
        <v>#REF!</v>
      </c>
    </row>
    <row r="162" spans="1:15" s="2" customFormat="1" x14ac:dyDescent="0.25">
      <c r="A162" s="59"/>
      <c r="B162" s="5" t="s">
        <v>230</v>
      </c>
      <c r="C162" s="6" t="s">
        <v>47</v>
      </c>
      <c r="D162" s="6"/>
      <c r="E162" s="6"/>
      <c r="F162" s="6"/>
      <c r="G162" s="7" t="s">
        <v>231</v>
      </c>
      <c r="H162" s="6"/>
      <c r="I162" s="6"/>
      <c r="J162" s="6"/>
      <c r="K162" s="18"/>
      <c r="L162" s="6"/>
      <c r="M162" s="6"/>
      <c r="N162" s="81">
        <f>+N164</f>
        <v>1.8855656558273213</v>
      </c>
      <c r="O162" s="2" t="e">
        <f>+N162/#REF!-1</f>
        <v>#REF!</v>
      </c>
    </row>
    <row r="164" spans="1:15" s="2" customFormat="1" x14ac:dyDescent="0.25">
      <c r="A164" s="59"/>
      <c r="B164" s="1403" t="s">
        <v>232</v>
      </c>
      <c r="C164" s="1390" t="s">
        <v>48</v>
      </c>
      <c r="D164" s="1390"/>
      <c r="E164" s="1403" t="s">
        <v>4</v>
      </c>
      <c r="F164" s="1416">
        <f>+K167</f>
        <v>188544.8</v>
      </c>
      <c r="G164" s="1416"/>
      <c r="H164" s="1416"/>
      <c r="I164" s="1416"/>
      <c r="J164" s="1403" t="s">
        <v>4</v>
      </c>
      <c r="K164" s="13"/>
      <c r="N164" s="13">
        <f>+K167/((K169*K173)+(K171*K175))</f>
        <v>1.8855656558273213</v>
      </c>
    </row>
    <row r="165" spans="1:15" s="2" customFormat="1" x14ac:dyDescent="0.25">
      <c r="A165" s="59"/>
      <c r="B165" s="1403"/>
      <c r="C165" s="1393" t="s">
        <v>233</v>
      </c>
      <c r="D165" s="1393"/>
      <c r="E165" s="1403"/>
      <c r="F165" s="1396" t="str">
        <f>+"("&amp;ROUND(K169,4)&amp;" . "&amp;ROUND(K173,4)&amp;")"&amp;" + "&amp;"("&amp;ROUND(K171,4)&amp;" . "&amp;ROUND(K175,4)&amp;")"</f>
        <v>(0,4207 . 77614,757) + (0,5793 . 116245,869)</v>
      </c>
      <c r="G165" s="1396"/>
      <c r="H165" s="1396"/>
      <c r="I165" s="1396"/>
      <c r="J165" s="1403"/>
      <c r="K165" s="13"/>
      <c r="N165" s="13"/>
    </row>
    <row r="167" spans="1:15" x14ac:dyDescent="0.25">
      <c r="B167" s="4" t="s">
        <v>48</v>
      </c>
      <c r="C167" t="s">
        <v>49</v>
      </c>
      <c r="K167" s="108">
        <f>+'Hoja Llave'!J6*N5</f>
        <v>188544.8</v>
      </c>
    </row>
    <row r="168" spans="1:15" x14ac:dyDescent="0.25">
      <c r="B168" s="4"/>
    </row>
    <row r="169" spans="1:15" x14ac:dyDescent="0.25">
      <c r="B169" s="4" t="s">
        <v>193</v>
      </c>
      <c r="C169" s="8" t="s">
        <v>194</v>
      </c>
      <c r="K169" s="10">
        <f>+'Hoja Llave'!J41</f>
        <v>0.42070000000000002</v>
      </c>
    </row>
    <row r="170" spans="1:15" x14ac:dyDescent="0.25">
      <c r="B170" s="4"/>
    </row>
    <row r="171" spans="1:15" x14ac:dyDescent="0.25">
      <c r="B171" s="4" t="s">
        <v>203</v>
      </c>
      <c r="C171" s="8" t="s">
        <v>206</v>
      </c>
      <c r="K171" s="10">
        <f>+'Hoja Llave'!J42</f>
        <v>0.57930000000000004</v>
      </c>
    </row>
    <row r="172" spans="1:15" x14ac:dyDescent="0.25">
      <c r="B172" s="4"/>
    </row>
    <row r="173" spans="1:15" x14ac:dyDescent="0.25">
      <c r="B173" s="4" t="s">
        <v>333</v>
      </c>
      <c r="C173" s="8" t="s">
        <v>235</v>
      </c>
      <c r="K173" s="74">
        <f>+'Hoja Llave'!J33</f>
        <v>77614.756994982657</v>
      </c>
    </row>
    <row r="174" spans="1:15" x14ac:dyDescent="0.25">
      <c r="B174" s="4"/>
    </row>
    <row r="175" spans="1:15" x14ac:dyDescent="0.25">
      <c r="B175" s="4" t="s">
        <v>234</v>
      </c>
      <c r="C175" s="8" t="s">
        <v>236</v>
      </c>
      <c r="K175" s="10">
        <f>+'Hoja Llave'!J34</f>
        <v>116245.86900780138</v>
      </c>
    </row>
    <row r="176" spans="1:15" x14ac:dyDescent="0.25">
      <c r="B176" s="4"/>
      <c r="C176" s="8"/>
    </row>
    <row r="177" spans="1:15" x14ac:dyDescent="0.25">
      <c r="B177" s="4"/>
    </row>
    <row r="178" spans="1:15" s="2" customFormat="1" x14ac:dyDescent="0.25">
      <c r="A178" s="59"/>
      <c r="B178" s="5" t="s">
        <v>51</v>
      </c>
      <c r="C178" s="6"/>
      <c r="D178" s="6"/>
      <c r="E178" s="6"/>
      <c r="F178" s="6"/>
      <c r="G178" s="7"/>
      <c r="H178" s="6"/>
      <c r="I178" s="6"/>
      <c r="J178" s="6"/>
      <c r="K178" s="18"/>
      <c r="L178" s="6"/>
      <c r="M178" s="6"/>
      <c r="N178" s="11"/>
    </row>
    <row r="181" spans="1:15" s="2" customFormat="1" ht="15.6" x14ac:dyDescent="0.3">
      <c r="A181" s="59"/>
      <c r="B181" s="2" t="s">
        <v>395</v>
      </c>
      <c r="F181" s="1410" t="str">
        <f>+ROUND(N44,4)&amp;" + "&amp;ROUND(N91,4)&amp;" + "&amp;ROUND(N96,4)&amp;" + "&amp;ROUND(N110,4)&amp;" + "&amp;ROUND(N153,4)&amp;" + "&amp;ROUND(N160,4)&amp;" + "&amp;ROUND(N164,4)</f>
        <v>489,1097 + 16,0873 + 146,7329 + 176,2112 + 18,8911 + 90,9354 + 1,8856</v>
      </c>
      <c r="G181" s="1410"/>
      <c r="H181" s="1410"/>
      <c r="I181" s="1410"/>
      <c r="J181" s="1410"/>
      <c r="K181" s="50" t="s">
        <v>4</v>
      </c>
      <c r="N181" s="90">
        <f>+N44+N91+N96+N110+N153+N164+N160+N98+N54</f>
        <v>940.80807997140766</v>
      </c>
      <c r="O181" s="2" t="e">
        <f>+N181/#REF!-1</f>
        <v>#REF!</v>
      </c>
    </row>
    <row r="184" spans="1:15" s="2" customFormat="1" x14ac:dyDescent="0.25">
      <c r="A184" s="59"/>
      <c r="B184" s="5" t="s">
        <v>54</v>
      </c>
      <c r="C184" s="6" t="s">
        <v>55</v>
      </c>
      <c r="D184" s="6"/>
      <c r="E184" s="6"/>
      <c r="F184" s="6"/>
      <c r="G184" s="7" t="s">
        <v>56</v>
      </c>
      <c r="H184" s="6"/>
      <c r="I184" s="6"/>
      <c r="J184" s="6"/>
      <c r="K184" s="18"/>
      <c r="L184" s="6"/>
      <c r="M184" s="6"/>
      <c r="N184" s="11"/>
    </row>
    <row r="185" spans="1:15" s="42" customFormat="1" x14ac:dyDescent="0.25">
      <c r="A185" s="115"/>
      <c r="B185" s="39"/>
      <c r="C185" s="39"/>
      <c r="D185" s="39"/>
      <c r="E185" s="39"/>
      <c r="F185" s="39"/>
      <c r="G185" s="40"/>
      <c r="H185" s="39"/>
      <c r="I185" s="39"/>
      <c r="J185" s="39"/>
      <c r="K185" s="41"/>
      <c r="L185" s="39"/>
      <c r="M185" s="39"/>
      <c r="N185" s="41"/>
    </row>
    <row r="186" spans="1:15" s="42" customFormat="1" x14ac:dyDescent="0.25">
      <c r="A186" s="115"/>
      <c r="B186" s="39"/>
      <c r="C186" s="43" t="s">
        <v>239</v>
      </c>
      <c r="D186" s="39"/>
      <c r="E186" s="39"/>
      <c r="F186" s="39"/>
      <c r="G186" s="40"/>
      <c r="H186" s="39"/>
      <c r="I186" s="39"/>
      <c r="J186" s="39"/>
      <c r="K186" s="41"/>
      <c r="L186" s="39"/>
      <c r="M186" s="39"/>
      <c r="N186" s="41"/>
    </row>
    <row r="187" spans="1:15" s="42" customFormat="1" x14ac:dyDescent="0.25">
      <c r="A187" s="115"/>
      <c r="B187" s="39"/>
      <c r="C187" s="39"/>
      <c r="D187" s="39"/>
      <c r="E187" s="39"/>
      <c r="F187" s="39"/>
      <c r="G187" s="40"/>
      <c r="H187" s="39"/>
      <c r="I187" s="39"/>
      <c r="J187" s="39"/>
      <c r="K187" s="41"/>
      <c r="L187" s="39"/>
      <c r="M187" s="39"/>
      <c r="N187" s="41"/>
    </row>
    <row r="188" spans="1:15" s="42" customFormat="1" x14ac:dyDescent="0.25">
      <c r="A188" s="115"/>
      <c r="B188" s="40" t="s">
        <v>240</v>
      </c>
      <c r="C188" s="43" t="s">
        <v>244</v>
      </c>
      <c r="D188" s="39"/>
      <c r="E188" s="39"/>
      <c r="F188" s="39"/>
      <c r="G188" s="40"/>
      <c r="H188" s="39"/>
      <c r="I188" s="39"/>
      <c r="J188" s="39"/>
      <c r="K188" s="41"/>
      <c r="L188" s="39"/>
      <c r="M188" s="39"/>
      <c r="N188" s="41"/>
    </row>
    <row r="189" spans="1:15" s="42" customFormat="1" x14ac:dyDescent="0.25">
      <c r="A189" s="115"/>
      <c r="B189" s="40"/>
      <c r="C189" s="43"/>
      <c r="D189" s="39"/>
      <c r="E189" s="39"/>
      <c r="F189" s="39"/>
      <c r="G189" s="40"/>
      <c r="H189" s="39"/>
      <c r="I189" s="39"/>
      <c r="J189" s="39"/>
      <c r="K189" s="41"/>
      <c r="L189" s="39"/>
      <c r="M189" s="39"/>
      <c r="N189" s="41"/>
    </row>
    <row r="190" spans="1:15" s="42" customFormat="1" x14ac:dyDescent="0.25">
      <c r="A190" s="115"/>
      <c r="B190" s="40" t="s">
        <v>241</v>
      </c>
      <c r="C190" s="43" t="s">
        <v>243</v>
      </c>
      <c r="D190" s="39"/>
      <c r="E190" s="39"/>
      <c r="F190" s="39"/>
      <c r="G190" s="40"/>
      <c r="H190" s="39"/>
      <c r="I190" s="39"/>
      <c r="J190" s="39"/>
      <c r="K190" s="41"/>
      <c r="L190" s="39"/>
      <c r="M190" s="39"/>
      <c r="N190" s="41"/>
    </row>
    <row r="191" spans="1:15" s="42" customFormat="1" x14ac:dyDescent="0.25">
      <c r="A191" s="115"/>
      <c r="B191" s="40"/>
      <c r="C191" s="43"/>
      <c r="D191" s="39"/>
      <c r="E191" s="39"/>
      <c r="F191" s="39"/>
      <c r="G191" s="40"/>
      <c r="H191" s="39"/>
      <c r="I191" s="39"/>
      <c r="J191" s="39"/>
      <c r="K191" s="41"/>
      <c r="L191" s="39"/>
      <c r="M191" s="39"/>
      <c r="N191" s="41"/>
    </row>
    <row r="192" spans="1:15" s="42" customFormat="1" x14ac:dyDescent="0.25">
      <c r="A192" s="115"/>
      <c r="B192" s="40" t="s">
        <v>242</v>
      </c>
      <c r="C192" s="43" t="s">
        <v>245</v>
      </c>
      <c r="D192" s="39"/>
      <c r="E192" s="39"/>
      <c r="F192" s="39"/>
      <c r="G192" s="40"/>
      <c r="H192" s="39"/>
      <c r="I192" s="39"/>
      <c r="J192" s="39"/>
      <c r="K192" s="41"/>
      <c r="L192" s="39"/>
      <c r="M192" s="39"/>
      <c r="N192" s="41"/>
    </row>
    <row r="193" spans="1:14" s="42" customFormat="1" x14ac:dyDescent="0.25">
      <c r="A193" s="115"/>
      <c r="B193" s="39"/>
      <c r="C193" s="39"/>
      <c r="D193" s="39"/>
      <c r="E193" s="39"/>
      <c r="F193" s="39"/>
      <c r="G193" s="40"/>
      <c r="H193" s="39"/>
      <c r="I193" s="39"/>
      <c r="J193" s="39"/>
      <c r="K193" s="41"/>
      <c r="L193" s="39"/>
      <c r="M193" s="39"/>
      <c r="N193" s="41"/>
    </row>
    <row r="194" spans="1:14" s="42" customFormat="1" x14ac:dyDescent="0.25">
      <c r="A194" s="115"/>
      <c r="B194" s="39"/>
      <c r="C194" s="39" t="s">
        <v>246</v>
      </c>
      <c r="D194" s="39"/>
      <c r="E194" s="39"/>
      <c r="F194" s="39"/>
      <c r="G194" s="40"/>
      <c r="H194" s="39"/>
      <c r="I194" s="39"/>
      <c r="J194" s="39"/>
      <c r="K194" s="41"/>
      <c r="L194" s="39"/>
      <c r="M194" s="39"/>
      <c r="N194" s="41"/>
    </row>
    <row r="195" spans="1:14" s="42" customFormat="1" x14ac:dyDescent="0.25">
      <c r="A195" s="115"/>
      <c r="B195" s="39"/>
      <c r="C195" s="39"/>
      <c r="D195" s="39"/>
      <c r="E195" s="39"/>
      <c r="F195" s="39"/>
      <c r="G195" s="40"/>
      <c r="H195" s="39"/>
      <c r="I195" s="39"/>
      <c r="J195" s="39"/>
      <c r="K195" s="41"/>
      <c r="L195" s="39"/>
      <c r="M195" s="39"/>
      <c r="N195" s="41"/>
    </row>
    <row r="196" spans="1:14" s="42" customFormat="1" x14ac:dyDescent="0.25">
      <c r="A196" s="115"/>
      <c r="B196" s="39"/>
      <c r="C196" s="39" t="s">
        <v>247</v>
      </c>
      <c r="D196" s="39"/>
      <c r="E196" s="39"/>
      <c r="F196" s="39"/>
      <c r="G196" s="40"/>
      <c r="H196" s="39"/>
      <c r="I196" s="39"/>
      <c r="J196" s="39"/>
      <c r="K196" s="41"/>
      <c r="L196" s="39"/>
      <c r="M196" s="39"/>
      <c r="N196" s="41"/>
    </row>
    <row r="197" spans="1:14" s="42" customFormat="1" x14ac:dyDescent="0.25">
      <c r="A197" s="115"/>
      <c r="B197" s="40"/>
      <c r="C197" s="43"/>
      <c r="D197" s="39"/>
      <c r="E197" s="39"/>
      <c r="F197" s="39"/>
      <c r="G197" s="40"/>
      <c r="H197" s="39"/>
      <c r="I197" s="39"/>
      <c r="J197" s="39"/>
      <c r="K197" s="41"/>
      <c r="L197" s="39"/>
      <c r="M197" s="39"/>
      <c r="N197" s="41"/>
    </row>
    <row r="198" spans="1:14" s="42" customFormat="1" ht="26.4" x14ac:dyDescent="0.25">
      <c r="A198" s="115" t="s">
        <v>414</v>
      </c>
      <c r="B198" s="44">
        <v>0.7</v>
      </c>
      <c r="C198" s="43" t="s">
        <v>248</v>
      </c>
      <c r="D198" s="39"/>
      <c r="E198" s="39"/>
      <c r="F198" s="39"/>
      <c r="G198" s="40"/>
      <c r="H198" s="39"/>
      <c r="I198" s="39"/>
      <c r="J198" s="39"/>
      <c r="K198" s="41"/>
      <c r="L198" s="39"/>
      <c r="M198" s="39"/>
      <c r="N198" s="41"/>
    </row>
    <row r="199" spans="1:14" s="42" customFormat="1" x14ac:dyDescent="0.25">
      <c r="B199" s="40"/>
      <c r="C199" s="43"/>
      <c r="D199" s="39"/>
      <c r="E199" s="39"/>
      <c r="F199" s="39"/>
      <c r="G199" s="40"/>
      <c r="H199" s="39"/>
      <c r="I199" s="39"/>
      <c r="J199" s="39"/>
      <c r="K199" s="41"/>
      <c r="L199" s="39"/>
      <c r="M199" s="39"/>
      <c r="N199" s="41"/>
    </row>
    <row r="200" spans="1:14" s="42" customFormat="1" ht="26.4" x14ac:dyDescent="0.25">
      <c r="A200" s="115" t="s">
        <v>414</v>
      </c>
      <c r="B200" s="44">
        <v>0.3</v>
      </c>
      <c r="C200" s="43" t="s">
        <v>249</v>
      </c>
      <c r="D200" s="39"/>
      <c r="E200" s="39"/>
      <c r="F200" s="39"/>
      <c r="G200" s="40"/>
      <c r="H200" s="39"/>
      <c r="I200" s="39"/>
      <c r="J200" s="39"/>
      <c r="K200" s="41"/>
      <c r="L200" s="39"/>
      <c r="M200" s="39"/>
      <c r="N200" s="41"/>
    </row>
    <row r="201" spans="1:14" s="42" customFormat="1" x14ac:dyDescent="0.25">
      <c r="A201" s="115"/>
      <c r="B201" s="40"/>
      <c r="C201" s="39"/>
      <c r="D201" s="39"/>
      <c r="E201" s="39"/>
      <c r="F201" s="39"/>
      <c r="G201" s="40"/>
      <c r="H201" s="39"/>
      <c r="I201" s="39"/>
      <c r="J201" s="39"/>
      <c r="K201" s="41"/>
      <c r="L201" s="39"/>
      <c r="M201" s="39"/>
      <c r="N201" s="41"/>
    </row>
    <row r="202" spans="1:14" s="42" customFormat="1" x14ac:dyDescent="0.25">
      <c r="A202" s="115"/>
      <c r="B202" s="40"/>
      <c r="C202" s="39" t="s">
        <v>250</v>
      </c>
      <c r="D202" s="39"/>
      <c r="E202" s="39"/>
      <c r="F202" s="39"/>
      <c r="G202" s="40"/>
      <c r="H202" s="39"/>
      <c r="I202" s="39"/>
      <c r="J202" s="39"/>
      <c r="K202" s="41"/>
      <c r="L202" s="39"/>
      <c r="M202" s="39"/>
      <c r="N202" s="41"/>
    </row>
    <row r="203" spans="1:14" s="42" customFormat="1" x14ac:dyDescent="0.25">
      <c r="A203" s="115"/>
      <c r="B203" s="40"/>
      <c r="C203" s="39"/>
      <c r="D203" s="39"/>
      <c r="E203" s="39"/>
      <c r="F203" s="39"/>
      <c r="G203" s="40"/>
      <c r="H203" s="39"/>
      <c r="I203" s="39"/>
      <c r="J203" s="39"/>
      <c r="K203" s="41"/>
      <c r="L203" s="39"/>
      <c r="M203" s="39"/>
      <c r="N203" s="41"/>
    </row>
    <row r="204" spans="1:14" s="42" customFormat="1" ht="26.4" x14ac:dyDescent="0.25">
      <c r="A204" s="115" t="s">
        <v>415</v>
      </c>
      <c r="B204" s="44">
        <v>0.15</v>
      </c>
      <c r="C204" s="43" t="s">
        <v>248</v>
      </c>
      <c r="D204" s="39"/>
      <c r="E204" s="39"/>
      <c r="F204" s="39"/>
      <c r="G204" s="40"/>
      <c r="H204" s="39"/>
      <c r="I204" s="39"/>
      <c r="J204" s="39"/>
      <c r="K204" s="41"/>
      <c r="L204" s="39"/>
      <c r="M204" s="39"/>
      <c r="N204" s="41"/>
    </row>
    <row r="205" spans="1:14" s="42" customFormat="1" x14ac:dyDescent="0.25">
      <c r="A205" s="115"/>
      <c r="B205" s="40"/>
      <c r="C205" s="43"/>
      <c r="D205" s="39"/>
      <c r="E205" s="39"/>
      <c r="F205" s="39"/>
      <c r="G205" s="40"/>
      <c r="H205" s="39"/>
      <c r="I205" s="39"/>
      <c r="J205" s="39"/>
      <c r="K205" s="41"/>
      <c r="L205" s="39"/>
      <c r="M205" s="39"/>
      <c r="N205" s="41"/>
    </row>
    <row r="206" spans="1:14" s="42" customFormat="1" ht="26.4" x14ac:dyDescent="0.25">
      <c r="A206" s="115" t="s">
        <v>415</v>
      </c>
      <c r="B206" s="44">
        <v>0.45</v>
      </c>
      <c r="C206" s="43" t="s">
        <v>249</v>
      </c>
      <c r="D206" s="39"/>
      <c r="E206" s="39"/>
      <c r="F206" s="39"/>
      <c r="G206" s="40"/>
      <c r="H206" s="39"/>
      <c r="I206" s="39"/>
      <c r="J206" s="39"/>
      <c r="K206" s="41"/>
      <c r="L206" s="39"/>
      <c r="M206" s="39"/>
      <c r="N206" s="41"/>
    </row>
    <row r="207" spans="1:14" s="42" customFormat="1" x14ac:dyDescent="0.25">
      <c r="A207" s="115"/>
      <c r="B207" s="40"/>
      <c r="C207" s="43"/>
      <c r="D207" s="39"/>
      <c r="E207" s="39"/>
      <c r="F207" s="39"/>
      <c r="G207" s="40"/>
      <c r="H207" s="39"/>
      <c r="I207" s="39"/>
      <c r="J207" s="39"/>
      <c r="K207" s="41"/>
      <c r="L207" s="39"/>
      <c r="M207" s="39"/>
      <c r="N207" s="41"/>
    </row>
    <row r="208" spans="1:14" s="42" customFormat="1" ht="26.4" x14ac:dyDescent="0.25">
      <c r="A208" s="115" t="s">
        <v>415</v>
      </c>
      <c r="B208" s="44">
        <v>0.4</v>
      </c>
      <c r="C208" s="43" t="s">
        <v>251</v>
      </c>
      <c r="D208" s="39"/>
      <c r="E208" s="39"/>
      <c r="F208" s="39"/>
      <c r="G208" s="40"/>
      <c r="H208" s="39"/>
      <c r="I208" s="39"/>
      <c r="J208" s="39"/>
      <c r="K208" s="41"/>
      <c r="L208" s="39"/>
      <c r="M208" s="39"/>
      <c r="N208" s="41"/>
    </row>
    <row r="209" spans="1:15" s="42" customFormat="1" x14ac:dyDescent="0.25">
      <c r="A209" s="115"/>
      <c r="B209" s="44"/>
      <c r="C209" s="43"/>
      <c r="D209" s="39"/>
      <c r="E209" s="39"/>
      <c r="F209" s="39"/>
      <c r="G209" s="40"/>
      <c r="H209" s="39"/>
      <c r="I209" s="39"/>
      <c r="J209" s="39"/>
      <c r="K209" s="41"/>
      <c r="L209" s="39"/>
      <c r="M209" s="39"/>
      <c r="N209" s="41"/>
    </row>
    <row r="211" spans="1:15" s="2" customFormat="1" x14ac:dyDescent="0.25">
      <c r="A211" s="59"/>
      <c r="B211" s="5" t="s">
        <v>57</v>
      </c>
      <c r="C211" s="6" t="s">
        <v>58</v>
      </c>
      <c r="D211" s="6"/>
      <c r="E211" s="6"/>
      <c r="F211" s="6"/>
      <c r="G211" s="7" t="s">
        <v>80</v>
      </c>
      <c r="H211" s="6"/>
      <c r="I211" s="6"/>
      <c r="J211" s="6"/>
      <c r="K211" s="18"/>
      <c r="L211" s="6"/>
      <c r="M211" s="6"/>
      <c r="N211" s="76">
        <f>+N241</f>
        <v>253.00211868131868</v>
      </c>
      <c r="O211" s="2" t="e">
        <f>+N211/#REF!-1</f>
        <v>#REF!</v>
      </c>
    </row>
    <row r="213" spans="1:15" s="2" customFormat="1" x14ac:dyDescent="0.25">
      <c r="A213" s="59"/>
      <c r="B213" s="1403" t="s">
        <v>252</v>
      </c>
      <c r="C213" s="1411" t="s">
        <v>253</v>
      </c>
      <c r="D213" s="1411"/>
      <c r="E213" s="1403" t="s">
        <v>4</v>
      </c>
      <c r="F213" s="1412" t="str">
        <f>+K222&amp;" . "&amp;"("&amp;"0,70"&amp;" / "&amp;K220&amp;" + "&amp;"0,30"&amp;" / "&amp;K224&amp;")"&amp;" . "&amp;ROUND(K218,4)</f>
        <v>0,4207 . (0,70 / 3,5 + 0,30 / 3,5) . 870</v>
      </c>
      <c r="G213" s="1412"/>
      <c r="H213" s="1412"/>
      <c r="I213" s="1412"/>
      <c r="J213" s="1403" t="s">
        <v>4</v>
      </c>
      <c r="K213" s="80">
        <f>+K222*((0.7/K220)+(0.3/K224))*K218</f>
        <v>104.574</v>
      </c>
    </row>
    <row r="214" spans="1:15" s="2" customFormat="1" x14ac:dyDescent="0.25">
      <c r="A214" s="59"/>
      <c r="B214" s="1403"/>
      <c r="C214" s="1414"/>
      <c r="D214" s="1414"/>
      <c r="E214" s="1403"/>
      <c r="F214" s="1415"/>
      <c r="G214" s="1415"/>
      <c r="H214" s="1415"/>
      <c r="I214" s="1415"/>
      <c r="J214" s="1403"/>
      <c r="K214" s="13"/>
      <c r="N214" s="13"/>
    </row>
    <row r="216" spans="1:15" x14ac:dyDescent="0.25">
      <c r="B216" s="8" t="s">
        <v>5</v>
      </c>
    </row>
    <row r="218" spans="1:15" x14ac:dyDescent="0.25">
      <c r="A218" s="35" t="s">
        <v>413</v>
      </c>
      <c r="B218" s="4" t="s">
        <v>254</v>
      </c>
      <c r="C218" s="47" t="s">
        <v>260</v>
      </c>
      <c r="D218" s="19"/>
      <c r="E218" s="19"/>
      <c r="F218" s="19"/>
      <c r="G218" s="46"/>
      <c r="H218" s="19"/>
      <c r="I218" s="19"/>
      <c r="K218" s="72">
        <f>+'Hoja Llave'!J49*N5</f>
        <v>870</v>
      </c>
    </row>
    <row r="219" spans="1:15" x14ac:dyDescent="0.25">
      <c r="B219" s="4"/>
    </row>
    <row r="220" spans="1:15" x14ac:dyDescent="0.25">
      <c r="A220" s="35" t="s">
        <v>416</v>
      </c>
      <c r="B220" s="4" t="s">
        <v>177</v>
      </c>
      <c r="C220" s="8" t="s">
        <v>256</v>
      </c>
      <c r="K220" s="72">
        <f>+'Hoja Llave'!J9</f>
        <v>3.5</v>
      </c>
    </row>
    <row r="221" spans="1:15" x14ac:dyDescent="0.25">
      <c r="B221" s="4"/>
    </row>
    <row r="222" spans="1:15" x14ac:dyDescent="0.25">
      <c r="B222" s="4" t="s">
        <v>193</v>
      </c>
      <c r="C222" s="8" t="s">
        <v>194</v>
      </c>
      <c r="K222" s="10">
        <f>+'Hoja Llave'!J41</f>
        <v>0.42070000000000002</v>
      </c>
    </row>
    <row r="223" spans="1:15" x14ac:dyDescent="0.25">
      <c r="B223" s="4"/>
    </row>
    <row r="224" spans="1:15" x14ac:dyDescent="0.25">
      <c r="A224" s="35" t="s">
        <v>416</v>
      </c>
      <c r="B224" s="4" t="s">
        <v>255</v>
      </c>
      <c r="C224" s="8" t="s">
        <v>257</v>
      </c>
      <c r="K224" s="72">
        <f>+'Hoja Llave'!J10</f>
        <v>3.5</v>
      </c>
    </row>
    <row r="225" spans="1:11" x14ac:dyDescent="0.25">
      <c r="B225" s="4"/>
    </row>
    <row r="226" spans="1:11" x14ac:dyDescent="0.25">
      <c r="B226" s="4"/>
    </row>
    <row r="227" spans="1:11" x14ac:dyDescent="0.25">
      <c r="B227" s="4" t="s">
        <v>258</v>
      </c>
      <c r="C227" s="2" t="s">
        <v>360</v>
      </c>
      <c r="D227" s="2"/>
      <c r="E227" s="2"/>
      <c r="F227" s="1412" t="str">
        <f>+K235&amp;" . "&amp;"("&amp;"0,15"&amp;" / "&amp;K233&amp;" + "&amp;"0,45"&amp;" / "&amp;K237&amp;" + "&amp;"0,4"&amp;" / "&amp;K239&amp;")"&amp;" . "&amp;K231</f>
        <v>0,5793 . (0,15 / 3,5 + 0,45 / 3,5 + 0,4 / 3,25) . 870</v>
      </c>
      <c r="G227" s="1412"/>
      <c r="H227" s="1412"/>
      <c r="I227" s="1412"/>
      <c r="J227" s="8" t="s">
        <v>4</v>
      </c>
      <c r="K227" s="80">
        <f>+K235*((0.15/K233)+(0.45/K237)+(0.4/K239))*K231</f>
        <v>148.42811868131869</v>
      </c>
    </row>
    <row r="228" spans="1:11" x14ac:dyDescent="0.25">
      <c r="B228" s="4"/>
    </row>
    <row r="229" spans="1:11" x14ac:dyDescent="0.25">
      <c r="B229" s="8" t="s">
        <v>5</v>
      </c>
    </row>
    <row r="231" spans="1:11" x14ac:dyDescent="0.25">
      <c r="A231" s="35" t="s">
        <v>413</v>
      </c>
      <c r="B231" s="4" t="s">
        <v>259</v>
      </c>
      <c r="C231" s="47" t="s">
        <v>261</v>
      </c>
      <c r="D231" s="19"/>
      <c r="K231" s="10">
        <f>+'Hoja Llave'!J50*N5</f>
        <v>870</v>
      </c>
    </row>
    <row r="232" spans="1:11" x14ac:dyDescent="0.25">
      <c r="B232" s="4"/>
    </row>
    <row r="233" spans="1:11" x14ac:dyDescent="0.25">
      <c r="A233" s="35" t="s">
        <v>416</v>
      </c>
      <c r="B233" s="4" t="s">
        <v>177</v>
      </c>
      <c r="C233" s="8" t="s">
        <v>256</v>
      </c>
      <c r="K233" s="10">
        <f>+'Hoja Llave'!J9</f>
        <v>3.5</v>
      </c>
    </row>
    <row r="234" spans="1:11" x14ac:dyDescent="0.25">
      <c r="B234" s="4"/>
    </row>
    <row r="235" spans="1:11" x14ac:dyDescent="0.25">
      <c r="B235" s="4" t="s">
        <v>203</v>
      </c>
      <c r="C235" s="8" t="s">
        <v>206</v>
      </c>
      <c r="K235" s="10">
        <f>+'Hoja Llave'!J42</f>
        <v>0.57930000000000004</v>
      </c>
    </row>
    <row r="236" spans="1:11" x14ac:dyDescent="0.25">
      <c r="B236" s="4"/>
    </row>
    <row r="237" spans="1:11" x14ac:dyDescent="0.25">
      <c r="A237" s="35" t="s">
        <v>416</v>
      </c>
      <c r="B237" s="4" t="s">
        <v>255</v>
      </c>
      <c r="C237" s="8" t="s">
        <v>257</v>
      </c>
      <c r="K237" s="10">
        <f>+'Hoja Llave'!J10</f>
        <v>3.5</v>
      </c>
    </row>
    <row r="238" spans="1:11" x14ac:dyDescent="0.25">
      <c r="B238" s="4"/>
    </row>
    <row r="239" spans="1:11" x14ac:dyDescent="0.25">
      <c r="A239" s="35" t="s">
        <v>416</v>
      </c>
      <c r="B239" s="4" t="s">
        <v>262</v>
      </c>
      <c r="C239" s="8" t="s">
        <v>263</v>
      </c>
      <c r="K239" s="72">
        <f>+'Hoja Llave'!J11</f>
        <v>3.25</v>
      </c>
    </row>
    <row r="240" spans="1:11" x14ac:dyDescent="0.25">
      <c r="B240" s="4"/>
    </row>
    <row r="241" spans="1:15" x14ac:dyDescent="0.25">
      <c r="B241" s="4" t="s">
        <v>264</v>
      </c>
      <c r="C241" s="1393" t="s">
        <v>265</v>
      </c>
      <c r="D241" s="1393"/>
      <c r="E241" s="1393"/>
      <c r="F241" s="4" t="s">
        <v>4</v>
      </c>
      <c r="G241" s="1393" t="str">
        <f>+ROUND(K213,4)&amp;" + "&amp;ROUND(K227,4)</f>
        <v>104,574 + 148,4281</v>
      </c>
      <c r="H241" s="1393"/>
      <c r="I241" s="1393"/>
      <c r="J241" s="1393"/>
      <c r="K241" s="50" t="s">
        <v>4</v>
      </c>
      <c r="L241" s="2"/>
      <c r="M241" s="2"/>
      <c r="N241" s="80">
        <f>+K227+K213</f>
        <v>253.00211868131868</v>
      </c>
    </row>
    <row r="243" spans="1:15" s="2" customFormat="1" x14ac:dyDescent="0.25">
      <c r="A243" s="59"/>
      <c r="B243" s="5" t="s">
        <v>59</v>
      </c>
      <c r="C243" s="6" t="s">
        <v>157</v>
      </c>
      <c r="D243" s="6"/>
      <c r="E243" s="6"/>
      <c r="F243" s="6"/>
      <c r="G243" s="7" t="s">
        <v>166</v>
      </c>
      <c r="H243" s="6"/>
      <c r="I243" s="6"/>
      <c r="J243" s="6"/>
      <c r="K243" s="18"/>
      <c r="L243" s="6"/>
      <c r="M243" s="6"/>
      <c r="N243" s="76">
        <f>+N249</f>
        <v>14.828098748984999</v>
      </c>
      <c r="O243" s="2" t="e">
        <f>+N243/#REF!-1</f>
        <v>#REF!</v>
      </c>
    </row>
    <row r="245" spans="1:15" ht="39.6" x14ac:dyDescent="0.25">
      <c r="A245" s="35" t="s">
        <v>417</v>
      </c>
      <c r="C245" s="8" t="s">
        <v>266</v>
      </c>
    </row>
    <row r="246" spans="1:15" x14ac:dyDescent="0.25">
      <c r="C246" s="8" t="s">
        <v>368</v>
      </c>
    </row>
    <row r="247" spans="1:15" x14ac:dyDescent="0.25">
      <c r="C247" s="8" t="s">
        <v>267</v>
      </c>
    </row>
    <row r="249" spans="1:15" x14ac:dyDescent="0.25">
      <c r="B249" s="2" t="s">
        <v>268</v>
      </c>
      <c r="C249" s="1393" t="s">
        <v>336</v>
      </c>
      <c r="D249" s="1393"/>
      <c r="E249" s="1393"/>
      <c r="F249" s="1393"/>
      <c r="G249" s="1393"/>
      <c r="H249" s="1393"/>
      <c r="I249" s="1393"/>
      <c r="J249" s="1393"/>
      <c r="N249" s="82">
        <f>+((K258*(0.7*K254+0.3*K256)+(K260*(0.15*K254+0.45*K256+0.4*K256))))*K262</f>
        <v>14.828098748984999</v>
      </c>
      <c r="O249" s="2" t="e">
        <f>+N249/#REF!-1</f>
        <v>#REF!</v>
      </c>
    </row>
    <row r="251" spans="1:15" x14ac:dyDescent="0.25">
      <c r="C251" s="62"/>
    </row>
    <row r="252" spans="1:15" x14ac:dyDescent="0.25">
      <c r="B252" s="8" t="s">
        <v>5</v>
      </c>
    </row>
    <row r="254" spans="1:15" x14ac:dyDescent="0.25">
      <c r="A254" s="35"/>
      <c r="B254" s="4" t="s">
        <v>167</v>
      </c>
      <c r="C254" s="8" t="s">
        <v>419</v>
      </c>
      <c r="K254" s="72">
        <f>+'Hoja Llave'!J12</f>
        <v>3.3E-3</v>
      </c>
    </row>
    <row r="255" spans="1:15" x14ac:dyDescent="0.25">
      <c r="B255" s="4"/>
    </row>
    <row r="256" spans="1:15" x14ac:dyDescent="0.25">
      <c r="B256" s="4" t="s">
        <v>269</v>
      </c>
      <c r="C256" s="8" t="s">
        <v>420</v>
      </c>
      <c r="K256" s="72">
        <f>+'Hoja Llave'!J51</f>
        <v>4.1999999999999997E-3</v>
      </c>
    </row>
    <row r="257" spans="1:15" x14ac:dyDescent="0.25">
      <c r="B257" s="4"/>
    </row>
    <row r="258" spans="1:15" x14ac:dyDescent="0.25">
      <c r="B258" s="4" t="s">
        <v>193</v>
      </c>
      <c r="C258" s="8" t="s">
        <v>194</v>
      </c>
      <c r="K258" s="10">
        <f>+'Hoja Llave'!J41</f>
        <v>0.42070000000000002</v>
      </c>
    </row>
    <row r="259" spans="1:15" x14ac:dyDescent="0.25">
      <c r="B259" s="4"/>
      <c r="C259" s="8"/>
    </row>
    <row r="260" spans="1:15" x14ac:dyDescent="0.25">
      <c r="B260" s="4" t="s">
        <v>203</v>
      </c>
      <c r="C260" s="8" t="s">
        <v>206</v>
      </c>
      <c r="K260" s="10">
        <f>+'Hoja Llave'!J42</f>
        <v>0.57930000000000004</v>
      </c>
    </row>
    <row r="261" spans="1:15" x14ac:dyDescent="0.25">
      <c r="B261" s="4"/>
    </row>
    <row r="262" spans="1:15" ht="26.4" x14ac:dyDescent="0.25">
      <c r="A262" s="35" t="s">
        <v>418</v>
      </c>
      <c r="B262" s="4" t="s">
        <v>335</v>
      </c>
      <c r="C262" s="8" t="s">
        <v>272</v>
      </c>
      <c r="K262" s="72">
        <f>+'Hoja Llave'!J16*N5</f>
        <v>3844.71</v>
      </c>
    </row>
    <row r="265" spans="1:15" s="2" customFormat="1" x14ac:dyDescent="0.25">
      <c r="A265" s="59"/>
      <c r="B265" s="5" t="s">
        <v>64</v>
      </c>
      <c r="C265" s="6" t="s">
        <v>60</v>
      </c>
      <c r="D265" s="6"/>
      <c r="E265" s="6"/>
      <c r="F265" s="6"/>
      <c r="G265" s="7" t="s">
        <v>79</v>
      </c>
      <c r="H265" s="6"/>
      <c r="I265" s="6"/>
      <c r="J265" s="6"/>
      <c r="K265" s="18"/>
      <c r="L265" s="6"/>
      <c r="M265" s="6"/>
      <c r="N265" s="76">
        <f>+N300</f>
        <v>65.782746018160708</v>
      </c>
      <c r="O265" s="2" t="e">
        <f>+N265/#REF!-1</f>
        <v>#REF!</v>
      </c>
    </row>
    <row r="267" spans="1:15" x14ac:dyDescent="0.25">
      <c r="B267" s="48"/>
      <c r="C267" s="1406" t="s">
        <v>273</v>
      </c>
      <c r="D267" s="1406"/>
      <c r="E267" s="1406"/>
      <c r="F267" s="1406"/>
      <c r="G267" s="1406"/>
      <c r="H267" s="1406"/>
      <c r="I267" s="1406"/>
      <c r="J267" s="1406"/>
      <c r="K267" s="1406"/>
      <c r="L267" s="1406"/>
      <c r="M267" s="1406"/>
      <c r="N267" s="1406"/>
    </row>
    <row r="268" spans="1:15" ht="39.6" x14ac:dyDescent="0.25">
      <c r="A268" s="35" t="s">
        <v>421</v>
      </c>
      <c r="B268" s="48"/>
      <c r="C268" s="1406"/>
      <c r="D268" s="1406"/>
      <c r="E268" s="1406"/>
      <c r="F268" s="1406"/>
      <c r="G268" s="1406"/>
      <c r="H268" s="1406"/>
      <c r="I268" s="1406"/>
      <c r="J268" s="1406"/>
      <c r="K268" s="1406"/>
      <c r="L268" s="1406"/>
      <c r="M268" s="1406"/>
      <c r="N268" s="1406"/>
    </row>
    <row r="270" spans="1:15" x14ac:dyDescent="0.25">
      <c r="B270" s="8" t="s">
        <v>61</v>
      </c>
    </row>
    <row r="272" spans="1:15" s="2" customFormat="1" x14ac:dyDescent="0.25">
      <c r="A272" s="59"/>
      <c r="B272" s="4" t="s">
        <v>274</v>
      </c>
      <c r="C272" s="1393" t="s">
        <v>383</v>
      </c>
      <c r="D272" s="1393"/>
      <c r="E272" s="1393"/>
      <c r="F272" s="17" t="s">
        <v>4</v>
      </c>
      <c r="G272" s="1393"/>
      <c r="H272" s="1393"/>
      <c r="I272" s="1393"/>
      <c r="J272" s="1393"/>
      <c r="K272" s="51" t="s">
        <v>4</v>
      </c>
      <c r="L272" s="85">
        <f>+K276*((0.5*K278*K280)+(0.5*K278*K283))</f>
        <v>24.349176261375</v>
      </c>
    </row>
    <row r="274" spans="2:12" x14ac:dyDescent="0.25">
      <c r="B274" s="8" t="s">
        <v>5</v>
      </c>
    </row>
    <row r="276" spans="2:12" x14ac:dyDescent="0.25">
      <c r="B276" s="4" t="s">
        <v>193</v>
      </c>
      <c r="C276" s="8" t="s">
        <v>194</v>
      </c>
      <c r="K276" s="10">
        <f>+'Hoja Llave'!J41</f>
        <v>0.42070000000000002</v>
      </c>
    </row>
    <row r="278" spans="2:12" x14ac:dyDescent="0.25">
      <c r="B278" s="4" t="s">
        <v>171</v>
      </c>
      <c r="C278" t="s">
        <v>62</v>
      </c>
      <c r="K278" s="84">
        <f>+'Hoja Llave'!J17</f>
        <v>1.0714285714285714E-4</v>
      </c>
    </row>
    <row r="279" spans="2:12" x14ac:dyDescent="0.25">
      <c r="B279" s="4"/>
    </row>
    <row r="280" spans="2:12" ht="12.75" customHeight="1" x14ac:dyDescent="0.25">
      <c r="B280" s="1389" t="s">
        <v>63</v>
      </c>
      <c r="C280" s="1408" t="s">
        <v>188</v>
      </c>
      <c r="D280" s="1408"/>
      <c r="E280" s="1408"/>
      <c r="F280" s="1408"/>
      <c r="G280" s="1408"/>
      <c r="H280" s="1408"/>
      <c r="I280" s="1408"/>
      <c r="J280" s="1408"/>
      <c r="K280" s="1409">
        <f>+'Hoja Llave'!J13*N5</f>
        <v>539125.97</v>
      </c>
    </row>
    <row r="281" spans="2:12" x14ac:dyDescent="0.25">
      <c r="B281" s="1389"/>
      <c r="C281" s="1408"/>
      <c r="D281" s="1408"/>
      <c r="E281" s="1408"/>
      <c r="F281" s="1408"/>
      <c r="G281" s="1408"/>
      <c r="H281" s="1408"/>
      <c r="I281" s="1408"/>
      <c r="J281" s="1408"/>
      <c r="K281" s="1409"/>
    </row>
    <row r="282" spans="2:12" x14ac:dyDescent="0.25">
      <c r="B282" s="4"/>
    </row>
    <row r="283" spans="2:12" ht="12.75" customHeight="1" x14ac:dyDescent="0.25">
      <c r="B283" s="1389" t="s">
        <v>187</v>
      </c>
      <c r="C283" s="1406" t="s">
        <v>382</v>
      </c>
      <c r="D283" s="1408"/>
      <c r="E283" s="1408"/>
      <c r="F283" s="1408"/>
      <c r="G283" s="1408"/>
      <c r="H283" s="1408"/>
      <c r="I283" s="1408"/>
      <c r="J283" s="1408"/>
      <c r="K283" s="109">
        <f>+'Hoja Llave'!J15*N5</f>
        <v>541259</v>
      </c>
    </row>
    <row r="284" spans="2:12" x14ac:dyDescent="0.25">
      <c r="B284" s="1389"/>
      <c r="C284" s="1408"/>
      <c r="D284" s="1408"/>
      <c r="E284" s="1408"/>
      <c r="F284" s="1408"/>
      <c r="G284" s="1408"/>
      <c r="H284" s="1408"/>
      <c r="I284" s="1408"/>
      <c r="J284" s="1408"/>
    </row>
    <row r="285" spans="2:12" x14ac:dyDescent="0.25">
      <c r="B285" s="21"/>
      <c r="C285" s="34"/>
      <c r="D285" s="34"/>
      <c r="E285" s="34"/>
      <c r="F285" s="34"/>
      <c r="G285" s="34"/>
      <c r="H285" s="34"/>
      <c r="I285" s="34"/>
      <c r="J285" s="34"/>
      <c r="K285" s="52"/>
    </row>
    <row r="286" spans="2:12" x14ac:dyDescent="0.25">
      <c r="B286" s="21"/>
      <c r="C286" s="34"/>
      <c r="D286" s="34"/>
      <c r="E286" s="34"/>
      <c r="F286" s="34"/>
      <c r="G286" s="34"/>
      <c r="H286" s="34"/>
      <c r="I286" s="34"/>
      <c r="J286" s="34"/>
      <c r="K286" s="52"/>
    </row>
    <row r="287" spans="2:12" x14ac:dyDescent="0.25">
      <c r="B287" s="4" t="s">
        <v>275</v>
      </c>
      <c r="C287" s="1393" t="s">
        <v>381</v>
      </c>
      <c r="D287" s="1393"/>
      <c r="E287" s="1393"/>
      <c r="F287" s="1393"/>
      <c r="G287" s="1393"/>
      <c r="H287" s="1393"/>
      <c r="I287" s="1393"/>
      <c r="J287" s="1393"/>
      <c r="K287" s="60" t="s">
        <v>4</v>
      </c>
      <c r="L287" s="110">
        <f>+K291*((0.7*K293*K297)+(0.3*K295*K297))</f>
        <v>41.433569756785715</v>
      </c>
    </row>
    <row r="288" spans="2:12" x14ac:dyDescent="0.25">
      <c r="K288" s="52"/>
    </row>
    <row r="289" spans="1:15" x14ac:dyDescent="0.25">
      <c r="B289" s="8" t="s">
        <v>5</v>
      </c>
      <c r="K289" s="52"/>
    </row>
    <row r="290" spans="1:15" x14ac:dyDescent="0.25">
      <c r="K290" s="52"/>
    </row>
    <row r="291" spans="1:15" x14ac:dyDescent="0.25">
      <c r="B291" s="4" t="s">
        <v>203</v>
      </c>
      <c r="C291" s="8" t="s">
        <v>206</v>
      </c>
      <c r="K291" s="52">
        <f>+'Hoja Llave'!J42</f>
        <v>0.57930000000000004</v>
      </c>
    </row>
    <row r="292" spans="1:15" x14ac:dyDescent="0.25">
      <c r="K292" s="52"/>
    </row>
    <row r="293" spans="1:15" x14ac:dyDescent="0.25">
      <c r="A293" s="35" t="s">
        <v>404</v>
      </c>
      <c r="B293" s="4" t="s">
        <v>171</v>
      </c>
      <c r="C293" t="s">
        <v>375</v>
      </c>
      <c r="K293" s="83">
        <f>+'Hoja Llave'!J17</f>
        <v>1.0714285714285714E-4</v>
      </c>
    </row>
    <row r="294" spans="1:15" x14ac:dyDescent="0.25">
      <c r="B294" s="4"/>
      <c r="K294" s="58"/>
    </row>
    <row r="295" spans="1:15" x14ac:dyDescent="0.25">
      <c r="A295" s="35" t="s">
        <v>404</v>
      </c>
      <c r="B295" s="4" t="s">
        <v>374</v>
      </c>
      <c r="C295" t="s">
        <v>376</v>
      </c>
      <c r="K295" s="58">
        <f>+'Hoja Llave'!J18</f>
        <v>1.9047619047619048E-4</v>
      </c>
    </row>
    <row r="296" spans="1:15" x14ac:dyDescent="0.25">
      <c r="B296" s="4"/>
      <c r="K296" s="52"/>
    </row>
    <row r="297" spans="1:15" x14ac:dyDescent="0.25">
      <c r="A297" s="35" t="s">
        <v>404</v>
      </c>
      <c r="B297" s="1389" t="s">
        <v>187</v>
      </c>
      <c r="C297" s="1406" t="s">
        <v>382</v>
      </c>
      <c r="D297" s="1408"/>
      <c r="E297" s="1408"/>
      <c r="F297" s="1408"/>
      <c r="G297" s="1408"/>
      <c r="H297" s="1408"/>
      <c r="I297" s="1408"/>
      <c r="J297" s="1408"/>
      <c r="K297" s="52">
        <f>+'Hoja Llave'!J15*N5</f>
        <v>541259</v>
      </c>
    </row>
    <row r="298" spans="1:15" x14ac:dyDescent="0.25">
      <c r="B298" s="1389"/>
      <c r="C298" s="1408"/>
      <c r="D298" s="1408"/>
      <c r="E298" s="1408"/>
      <c r="F298" s="1408"/>
      <c r="G298" s="1408"/>
      <c r="H298" s="1408"/>
      <c r="I298" s="1408"/>
      <c r="J298" s="1408"/>
    </row>
    <row r="299" spans="1:15" x14ac:dyDescent="0.25">
      <c r="B299" s="21"/>
      <c r="C299" s="34"/>
      <c r="D299" s="34"/>
      <c r="E299" s="34"/>
      <c r="F299" s="34"/>
      <c r="G299" s="34"/>
      <c r="H299" s="34"/>
      <c r="I299" s="34"/>
      <c r="J299" s="34"/>
    </row>
    <row r="300" spans="1:15" ht="12.75" customHeight="1" x14ac:dyDescent="0.25">
      <c r="B300" s="21" t="s">
        <v>276</v>
      </c>
      <c r="C300" s="1389" t="s">
        <v>277</v>
      </c>
      <c r="D300" s="1389"/>
      <c r="E300" s="1389"/>
      <c r="F300" s="35" t="s">
        <v>4</v>
      </c>
      <c r="G300" s="1413" t="str">
        <f>+ROUND(L272,4)&amp;" + "&amp;ROUND(L287,4)</f>
        <v>24,3492 + 41,4336</v>
      </c>
      <c r="H300" s="1389"/>
      <c r="I300" s="1389"/>
      <c r="J300" s="59" t="s">
        <v>4</v>
      </c>
      <c r="K300" s="13"/>
      <c r="L300" s="2"/>
      <c r="M300" s="2"/>
      <c r="N300" s="13">
        <f>+L287+L272</f>
        <v>65.782746018160708</v>
      </c>
    </row>
    <row r="301" spans="1:15" x14ac:dyDescent="0.25">
      <c r="B301" s="21"/>
      <c r="C301" s="21"/>
      <c r="D301" s="21"/>
      <c r="E301" s="21"/>
      <c r="F301" s="35"/>
      <c r="G301" s="34"/>
      <c r="H301" s="34"/>
      <c r="I301" s="34"/>
      <c r="J301" s="34"/>
    </row>
    <row r="302" spans="1:15" x14ac:dyDescent="0.25">
      <c r="B302" s="21"/>
      <c r="C302" s="34"/>
      <c r="D302" s="34"/>
      <c r="E302" s="34"/>
      <c r="F302" s="34"/>
      <c r="G302" s="34"/>
      <c r="H302" s="34"/>
      <c r="I302" s="34"/>
      <c r="J302" s="34"/>
    </row>
    <row r="303" spans="1:15" s="2" customFormat="1" x14ac:dyDescent="0.25">
      <c r="A303" s="59"/>
      <c r="B303" s="5" t="s">
        <v>66</v>
      </c>
      <c r="C303" s="6" t="s">
        <v>65</v>
      </c>
      <c r="D303" s="6"/>
      <c r="E303" s="6"/>
      <c r="F303" s="6"/>
      <c r="G303" s="7" t="s">
        <v>78</v>
      </c>
      <c r="H303" s="6"/>
      <c r="I303" s="6"/>
      <c r="J303" s="6"/>
      <c r="K303" s="18"/>
      <c r="L303" s="6"/>
      <c r="M303" s="6"/>
      <c r="N303" s="76">
        <f>+N305</f>
        <v>6.5782746018160712</v>
      </c>
      <c r="O303" s="2" t="e">
        <f>+N303/#REF!-1</f>
        <v>#REF!</v>
      </c>
    </row>
    <row r="305" spans="1:15" s="2" customFormat="1" ht="118.8" x14ac:dyDescent="0.25">
      <c r="A305" s="59" t="s">
        <v>423</v>
      </c>
      <c r="B305" s="4" t="s">
        <v>163</v>
      </c>
      <c r="C305" s="1393" t="s">
        <v>278</v>
      </c>
      <c r="D305" s="1393"/>
      <c r="E305" s="4" t="s">
        <v>4</v>
      </c>
      <c r="F305" s="1393" t="str">
        <f>0.1&amp;" . "&amp;ROUND(N300,4)</f>
        <v>0,1 . 65,7827</v>
      </c>
      <c r="G305" s="1393"/>
      <c r="H305" s="1393"/>
      <c r="I305" s="1393"/>
      <c r="J305" s="4" t="s">
        <v>4</v>
      </c>
      <c r="K305" s="13"/>
      <c r="N305" s="80">
        <f>0.1*N300</f>
        <v>6.5782746018160712</v>
      </c>
    </row>
    <row r="308" spans="1:15" s="2" customFormat="1" x14ac:dyDescent="0.25">
      <c r="A308" s="59"/>
      <c r="B308" s="5" t="s">
        <v>168</v>
      </c>
      <c r="C308" s="6" t="s">
        <v>67</v>
      </c>
      <c r="D308" s="6"/>
      <c r="E308" s="6"/>
      <c r="F308" s="6"/>
      <c r="G308" s="7" t="s">
        <v>77</v>
      </c>
      <c r="H308" s="6"/>
      <c r="I308" s="6"/>
      <c r="J308" s="6"/>
      <c r="K308" s="18"/>
      <c r="L308" s="6"/>
      <c r="M308" s="6"/>
      <c r="N308" s="76">
        <f>+N310</f>
        <v>2.7513333333333332</v>
      </c>
      <c r="O308" s="2" t="e">
        <f>+N308/#REF!-1</f>
        <v>#REF!</v>
      </c>
    </row>
    <row r="310" spans="1:15" s="2" customFormat="1" ht="66" x14ac:dyDescent="0.25">
      <c r="A310" s="59" t="s">
        <v>422</v>
      </c>
      <c r="B310" s="1403" t="s">
        <v>68</v>
      </c>
      <c r="C310" s="1390" t="s">
        <v>69</v>
      </c>
      <c r="D310" s="1390"/>
      <c r="E310" s="1403" t="s">
        <v>4</v>
      </c>
      <c r="F310" s="1401">
        <f>+K315</f>
        <v>8254</v>
      </c>
      <c r="G310" s="1401"/>
      <c r="H310" s="1401"/>
      <c r="I310" s="1401"/>
      <c r="J310" s="1403" t="s">
        <v>4</v>
      </c>
      <c r="K310" s="13"/>
      <c r="N310" s="13">
        <f>+F310/F311</f>
        <v>2.7513333333333332</v>
      </c>
    </row>
    <row r="311" spans="1:15" s="2" customFormat="1" x14ac:dyDescent="0.25">
      <c r="A311" s="59"/>
      <c r="B311" s="1403"/>
      <c r="C311" s="1393" t="s">
        <v>70</v>
      </c>
      <c r="D311" s="1393"/>
      <c r="E311" s="1403"/>
      <c r="F311" s="1404">
        <v>3000</v>
      </c>
      <c r="G311" s="1404"/>
      <c r="H311" s="1404"/>
      <c r="I311" s="1404"/>
      <c r="J311" s="1403"/>
      <c r="K311" s="13"/>
      <c r="N311" s="13"/>
    </row>
    <row r="313" spans="1:15" x14ac:dyDescent="0.25">
      <c r="B313" s="8" t="s">
        <v>5</v>
      </c>
    </row>
    <row r="315" spans="1:15" x14ac:dyDescent="0.25">
      <c r="A315" s="35" t="s">
        <v>404</v>
      </c>
      <c r="B315" s="4" t="s">
        <v>69</v>
      </c>
      <c r="C315" t="s">
        <v>71</v>
      </c>
      <c r="K315" s="10">
        <f>+'Hoja Llave'!J23*N5</f>
        <v>8254</v>
      </c>
    </row>
    <row r="318" spans="1:15" s="2" customFormat="1" x14ac:dyDescent="0.25">
      <c r="A318" s="59"/>
      <c r="B318" s="5" t="s">
        <v>72</v>
      </c>
      <c r="C318" s="6"/>
      <c r="D318" s="6"/>
      <c r="E318" s="6"/>
      <c r="F318" s="6"/>
      <c r="G318" s="7"/>
      <c r="H318" s="6"/>
      <c r="I318" s="6"/>
      <c r="J318" s="6"/>
      <c r="K318" s="18"/>
      <c r="L318" s="6"/>
      <c r="M318" s="6"/>
      <c r="N318" s="76">
        <f>+N320</f>
        <v>342.94257138361377</v>
      </c>
      <c r="O318" s="2" t="e">
        <f>+N318/#REF!-1</f>
        <v>#REF!</v>
      </c>
    </row>
    <row r="320" spans="1:15" s="2" customFormat="1" ht="15.6" x14ac:dyDescent="0.3">
      <c r="A320" s="59"/>
      <c r="B320" s="4" t="s">
        <v>73</v>
      </c>
      <c r="C320" s="1393" t="s">
        <v>169</v>
      </c>
      <c r="D320" s="1393"/>
      <c r="E320" s="4" t="s">
        <v>4</v>
      </c>
      <c r="F320" s="1393" t="str">
        <f>+ROUND(N241,4)&amp;" + "&amp;ROUND(N249,4)&amp;" + "&amp;ROUND(N300,4)&amp;" + "&amp;ROUND(N305,4)&amp;" + "&amp;ROUND(N310,4)</f>
        <v>253,0021 + 14,8281 + 65,7827 + 6,5783 + 2,7513</v>
      </c>
      <c r="G320" s="1393"/>
      <c r="H320" s="1393"/>
      <c r="I320" s="1393"/>
      <c r="J320" s="1393"/>
      <c r="K320" s="50" t="s">
        <v>4</v>
      </c>
      <c r="N320" s="90">
        <f>+N310+N305+N300+N249+N241</f>
        <v>342.94257138361377</v>
      </c>
      <c r="O320" s="2" t="e">
        <f>+N320/#REF!-1</f>
        <v>#REF!</v>
      </c>
    </row>
    <row r="323" spans="1:16" s="2" customFormat="1" x14ac:dyDescent="0.25">
      <c r="A323" s="59"/>
      <c r="B323" s="5" t="s">
        <v>74</v>
      </c>
      <c r="C323" s="6" t="s">
        <v>75</v>
      </c>
      <c r="D323" s="6"/>
      <c r="E323" s="6"/>
      <c r="F323" s="6"/>
      <c r="G323" s="7" t="s">
        <v>76</v>
      </c>
      <c r="H323" s="6"/>
      <c r="I323" s="6"/>
      <c r="J323" s="6"/>
      <c r="K323" s="18"/>
      <c r="L323" s="6"/>
      <c r="M323" s="6"/>
      <c r="N323" s="11"/>
    </row>
    <row r="326" spans="1:16" s="2" customFormat="1" x14ac:dyDescent="0.25">
      <c r="A326" s="59"/>
      <c r="B326" s="5" t="s">
        <v>81</v>
      </c>
      <c r="C326" s="6" t="s">
        <v>82</v>
      </c>
      <c r="D326" s="6"/>
      <c r="E326" s="6"/>
      <c r="F326" s="6"/>
      <c r="G326" s="7" t="s">
        <v>84</v>
      </c>
      <c r="H326" s="6"/>
      <c r="I326" s="6"/>
      <c r="J326" s="6"/>
      <c r="K326" s="18"/>
      <c r="L326" s="6"/>
      <c r="M326" s="6"/>
      <c r="N326" s="76">
        <f>+N374</f>
        <v>200.68877151334095</v>
      </c>
      <c r="O326" s="2" t="e">
        <f>+N326/#REF!-1</f>
        <v>#REF!</v>
      </c>
    </row>
    <row r="328" spans="1:16" s="2" customFormat="1" x14ac:dyDescent="0.25">
      <c r="A328" s="59"/>
      <c r="B328" s="1403" t="s">
        <v>281</v>
      </c>
      <c r="C328" s="1390" t="s">
        <v>279</v>
      </c>
      <c r="D328" s="1390"/>
      <c r="E328" s="1403" t="s">
        <v>4</v>
      </c>
      <c r="F328" s="1390" t="str">
        <f>+K333&amp;" . "&amp;K335&amp;" . "&amp;K341</f>
        <v>0,08 . 0,4207 . 193800000</v>
      </c>
      <c r="G328" s="1390"/>
      <c r="H328" s="1390"/>
      <c r="I328" s="1390"/>
      <c r="J328" s="1403" t="s">
        <v>4</v>
      </c>
      <c r="K328" s="80">
        <f>+(K333*K335*K341)/(K337)</f>
        <v>84.037276576433072</v>
      </c>
      <c r="O328" s="32"/>
      <c r="P328" s="12"/>
    </row>
    <row r="329" spans="1:16" s="2" customFormat="1" x14ac:dyDescent="0.25">
      <c r="A329" s="59"/>
      <c r="B329" s="1403"/>
      <c r="C329" s="1393" t="s">
        <v>280</v>
      </c>
      <c r="D329" s="1393"/>
      <c r="E329" s="1403"/>
      <c r="F329" s="1404">
        <f>+K337</f>
        <v>77614.756994982657</v>
      </c>
      <c r="G329" s="1404"/>
      <c r="H329" s="1404"/>
      <c r="I329" s="1404"/>
      <c r="J329" s="1403"/>
      <c r="K329" s="13"/>
      <c r="N329" s="13"/>
      <c r="P329" s="33"/>
    </row>
    <row r="331" spans="1:16" x14ac:dyDescent="0.25">
      <c r="B331" s="8" t="s">
        <v>5</v>
      </c>
    </row>
    <row r="333" spans="1:16" x14ac:dyDescent="0.25">
      <c r="A333" s="35" t="s">
        <v>404</v>
      </c>
      <c r="B333" s="4" t="s">
        <v>83</v>
      </c>
      <c r="C333" s="8" t="s">
        <v>285</v>
      </c>
      <c r="K333" s="72">
        <f>+'Hoja Llave'!J20</f>
        <v>0.08</v>
      </c>
    </row>
    <row r="334" spans="1:16" x14ac:dyDescent="0.25">
      <c r="B334" s="4"/>
    </row>
    <row r="335" spans="1:16" x14ac:dyDescent="0.25">
      <c r="B335" s="4" t="s">
        <v>193</v>
      </c>
      <c r="C335" s="8" t="s">
        <v>194</v>
      </c>
      <c r="K335" s="10">
        <f>+'Hoja Llave'!J41</f>
        <v>0.42070000000000002</v>
      </c>
    </row>
    <row r="336" spans="1:16" x14ac:dyDescent="0.25">
      <c r="B336" s="4"/>
    </row>
    <row r="337" spans="1:11" x14ac:dyDescent="0.25">
      <c r="B337" s="4" t="s">
        <v>333</v>
      </c>
      <c r="C337" s="8" t="s">
        <v>235</v>
      </c>
      <c r="K337" s="10">
        <f>+'Hoja Llave'!J33</f>
        <v>77614.756994982657</v>
      </c>
    </row>
    <row r="339" spans="1:11" x14ac:dyDescent="0.25">
      <c r="B339" s="8" t="s">
        <v>282</v>
      </c>
    </row>
    <row r="341" spans="1:11" x14ac:dyDescent="0.25">
      <c r="B341" s="4" t="s">
        <v>283</v>
      </c>
      <c r="C341" s="1393" t="s">
        <v>284</v>
      </c>
      <c r="D341" s="1393"/>
      <c r="E341" s="38" t="s">
        <v>4</v>
      </c>
      <c r="F341" s="1393" t="str">
        <f>+"0,70"&amp;" . "&amp;K345&amp;" + "&amp;"0,30"&amp;" . "&amp;K347</f>
        <v>0,70 . 171000000 + 0,30 . 247000000</v>
      </c>
      <c r="G341" s="1393"/>
      <c r="H341" s="1393"/>
      <c r="I341" s="1393"/>
      <c r="J341" s="8" t="s">
        <v>4</v>
      </c>
      <c r="K341" s="80">
        <f>+(0.7*K345)+(0.3*K347)</f>
        <v>193800000</v>
      </c>
    </row>
    <row r="343" spans="1:11" x14ac:dyDescent="0.25">
      <c r="B343" s="8" t="s">
        <v>5</v>
      </c>
    </row>
    <row r="345" spans="1:11" ht="26.4" x14ac:dyDescent="0.25">
      <c r="A345" s="35" t="s">
        <v>424</v>
      </c>
      <c r="B345" s="4" t="s">
        <v>286</v>
      </c>
      <c r="C345" s="8" t="s">
        <v>287</v>
      </c>
      <c r="K345" s="72">
        <f>+'Hoja Llave'!J52*N5</f>
        <v>171000000</v>
      </c>
    </row>
    <row r="346" spans="1:11" x14ac:dyDescent="0.25">
      <c r="B346" s="4"/>
      <c r="C346" s="8"/>
    </row>
    <row r="347" spans="1:11" ht="26.4" x14ac:dyDescent="0.25">
      <c r="A347" s="35" t="s">
        <v>424</v>
      </c>
      <c r="B347" s="4" t="s">
        <v>241</v>
      </c>
      <c r="C347" s="8" t="s">
        <v>288</v>
      </c>
      <c r="K347" s="72">
        <f>+'Hoja Llave'!J53*N5</f>
        <v>247000000</v>
      </c>
    </row>
    <row r="348" spans="1:11" x14ac:dyDescent="0.25">
      <c r="B348" s="4"/>
      <c r="C348" s="8"/>
    </row>
    <row r="349" spans="1:11" x14ac:dyDescent="0.25">
      <c r="B349" s="4"/>
      <c r="C349" s="8"/>
    </row>
    <row r="350" spans="1:11" x14ac:dyDescent="0.25">
      <c r="B350" s="4" t="s">
        <v>289</v>
      </c>
      <c r="C350" s="1390" t="s">
        <v>290</v>
      </c>
      <c r="D350" s="1390"/>
      <c r="E350" s="45" t="s">
        <v>4</v>
      </c>
      <c r="F350" s="1390" t="str">
        <f>+K355&amp;" . "&amp;K357&amp;" . "&amp;K364</f>
        <v>0,08 . 0,5793 . 292600000</v>
      </c>
      <c r="G350" s="1390"/>
      <c r="H350" s="1390"/>
      <c r="I350" s="1390"/>
      <c r="J350" s="8" t="s">
        <v>4</v>
      </c>
      <c r="K350" s="80">
        <f>+(K355*K357*K364)/K359</f>
        <v>116.65149493690789</v>
      </c>
    </row>
    <row r="351" spans="1:11" x14ac:dyDescent="0.25">
      <c r="B351" s="4"/>
      <c r="C351" s="1402" t="s">
        <v>234</v>
      </c>
      <c r="D351" s="1402"/>
      <c r="E351" s="54"/>
      <c r="F351" s="1407">
        <f>+K359</f>
        <v>116245.86900780138</v>
      </c>
      <c r="G351" s="1407"/>
      <c r="H351" s="1407"/>
      <c r="I351" s="1407"/>
    </row>
    <row r="352" spans="1:11" x14ac:dyDescent="0.25">
      <c r="B352" s="4"/>
      <c r="C352" s="8"/>
    </row>
    <row r="353" spans="1:11" x14ac:dyDescent="0.25">
      <c r="B353" s="38" t="s">
        <v>5</v>
      </c>
      <c r="C353" s="8"/>
    </row>
    <row r="354" spans="1:11" x14ac:dyDescent="0.25">
      <c r="B354" s="4"/>
      <c r="C354" s="8"/>
    </row>
    <row r="355" spans="1:11" x14ac:dyDescent="0.25">
      <c r="B355" s="4" t="s">
        <v>83</v>
      </c>
      <c r="C355" s="8" t="s">
        <v>285</v>
      </c>
      <c r="K355" s="72">
        <f>+'Hoja Llave'!J20</f>
        <v>0.08</v>
      </c>
    </row>
    <row r="356" spans="1:11" x14ac:dyDescent="0.25">
      <c r="B356" s="4"/>
      <c r="C356" s="8"/>
    </row>
    <row r="357" spans="1:11" x14ac:dyDescent="0.25">
      <c r="B357" s="4" t="s">
        <v>291</v>
      </c>
      <c r="C357" s="8" t="s">
        <v>206</v>
      </c>
      <c r="K357" s="10">
        <f>+'Hoja Llave'!J42</f>
        <v>0.57930000000000004</v>
      </c>
    </row>
    <row r="358" spans="1:11" x14ac:dyDescent="0.25">
      <c r="B358" s="4"/>
      <c r="C358" s="8"/>
    </row>
    <row r="359" spans="1:11" x14ac:dyDescent="0.25">
      <c r="B359" s="4" t="s">
        <v>234</v>
      </c>
      <c r="C359" s="8" t="s">
        <v>236</v>
      </c>
      <c r="K359" s="10">
        <f>+'Hoja Llave'!J34</f>
        <v>116245.86900780138</v>
      </c>
    </row>
    <row r="360" spans="1:11" x14ac:dyDescent="0.25">
      <c r="B360" s="4"/>
      <c r="C360" s="8"/>
    </row>
    <row r="361" spans="1:11" x14ac:dyDescent="0.25">
      <c r="B361" s="4"/>
      <c r="C361" s="8"/>
    </row>
    <row r="362" spans="1:11" x14ac:dyDescent="0.25">
      <c r="B362" s="49" t="s">
        <v>292</v>
      </c>
      <c r="C362" s="8"/>
    </row>
    <row r="363" spans="1:11" x14ac:dyDescent="0.25">
      <c r="B363" s="4"/>
      <c r="C363" s="8"/>
    </row>
    <row r="364" spans="1:11" x14ac:dyDescent="0.25">
      <c r="B364" s="4" t="s">
        <v>293</v>
      </c>
      <c r="C364" s="1393" t="s">
        <v>294</v>
      </c>
      <c r="D364" s="1393"/>
      <c r="E364" s="4" t="s">
        <v>4</v>
      </c>
      <c r="F364" s="1393" t="str">
        <f>+"0,15"&amp;" . "&amp;K368&amp;" + "&amp;"0,45"&amp;" . "&amp;K370&amp;" + "&amp;"0,40"&amp;" . "&amp;K372</f>
        <v>0,15 . 171000000 + 0,45 . 247000000 + 0,40 . 389500000</v>
      </c>
      <c r="G364" s="1393"/>
      <c r="H364" s="1393"/>
      <c r="I364" s="1393"/>
      <c r="J364" s="2" t="s">
        <v>4</v>
      </c>
      <c r="K364" s="80">
        <f>+(0.15*K368)+(0.45*K370)+(0.4*K372)</f>
        <v>292600000</v>
      </c>
    </row>
    <row r="365" spans="1:11" x14ac:dyDescent="0.25">
      <c r="B365" s="4"/>
      <c r="C365" s="4"/>
      <c r="D365" s="4"/>
      <c r="E365" s="4"/>
      <c r="F365" s="4"/>
      <c r="G365" s="4"/>
      <c r="I365" s="8"/>
    </row>
    <row r="366" spans="1:11" x14ac:dyDescent="0.25">
      <c r="B366" s="38" t="s">
        <v>5</v>
      </c>
      <c r="C366" s="4"/>
      <c r="D366" s="4"/>
      <c r="E366" s="4"/>
      <c r="F366" s="4"/>
      <c r="G366" s="4"/>
      <c r="I366" s="8"/>
    </row>
    <row r="367" spans="1:11" x14ac:dyDescent="0.25">
      <c r="B367" s="4"/>
      <c r="C367" s="4"/>
      <c r="D367" s="4"/>
      <c r="E367" s="4"/>
      <c r="F367" s="4"/>
      <c r="G367" s="4"/>
      <c r="I367" s="8"/>
    </row>
    <row r="368" spans="1:11" ht="26.4" x14ac:dyDescent="0.25">
      <c r="A368" s="35" t="s">
        <v>424</v>
      </c>
      <c r="B368" s="4" t="s">
        <v>286</v>
      </c>
      <c r="C368" s="8" t="s">
        <v>287</v>
      </c>
      <c r="K368" s="72">
        <f>+'Hoja Llave'!J52*N5</f>
        <v>171000000</v>
      </c>
    </row>
    <row r="369" spans="1:15" x14ac:dyDescent="0.25">
      <c r="B369" s="4"/>
      <c r="C369" s="8"/>
    </row>
    <row r="370" spans="1:15" ht="26.4" x14ac:dyDescent="0.25">
      <c r="A370" s="35" t="s">
        <v>424</v>
      </c>
      <c r="B370" s="4" t="s">
        <v>241</v>
      </c>
      <c r="C370" s="8" t="s">
        <v>288</v>
      </c>
      <c r="K370" s="72">
        <f>+'Hoja Llave'!J53*N5</f>
        <v>247000000</v>
      </c>
    </row>
    <row r="371" spans="1:15" x14ac:dyDescent="0.25">
      <c r="B371" s="4"/>
      <c r="C371" s="8"/>
    </row>
    <row r="372" spans="1:15" ht="26.4" x14ac:dyDescent="0.25">
      <c r="A372" s="35" t="s">
        <v>424</v>
      </c>
      <c r="B372" s="4" t="s">
        <v>242</v>
      </c>
      <c r="C372" s="8" t="s">
        <v>295</v>
      </c>
      <c r="K372" s="72">
        <f>+'Hoja Llave'!J54*N5</f>
        <v>389500000</v>
      </c>
    </row>
    <row r="373" spans="1:15" x14ac:dyDescent="0.25">
      <c r="B373" s="4"/>
      <c r="C373" s="8"/>
    </row>
    <row r="374" spans="1:15" x14ac:dyDescent="0.25">
      <c r="B374" s="4" t="s">
        <v>296</v>
      </c>
      <c r="C374" s="1393" t="s">
        <v>297</v>
      </c>
      <c r="D374" s="1393"/>
      <c r="E374" s="17" t="s">
        <v>4</v>
      </c>
      <c r="F374" s="1393" t="str">
        <f>+ROUND(K328,4)&amp;" + "&amp;ROUND(K350,4)</f>
        <v>84,0373 + 116,6515</v>
      </c>
      <c r="G374" s="1393"/>
      <c r="H374" s="1393"/>
      <c r="I374" s="1393"/>
      <c r="J374" s="2" t="s">
        <v>4</v>
      </c>
      <c r="K374" s="13"/>
      <c r="L374" s="2"/>
      <c r="M374" s="2"/>
      <c r="N374" s="13">
        <f>+K350+K328</f>
        <v>200.68877151334095</v>
      </c>
    </row>
    <row r="375" spans="1:15" x14ac:dyDescent="0.25">
      <c r="B375" s="4"/>
      <c r="C375" s="8"/>
    </row>
    <row r="376" spans="1:15" x14ac:dyDescent="0.25">
      <c r="B376" s="4"/>
      <c r="C376" s="8"/>
    </row>
    <row r="377" spans="1:15" s="2" customFormat="1" x14ac:dyDescent="0.25">
      <c r="A377" s="59"/>
      <c r="B377" s="5" t="s">
        <v>85</v>
      </c>
      <c r="C377" s="6" t="s">
        <v>86</v>
      </c>
      <c r="D377" s="6"/>
      <c r="E377" s="6"/>
      <c r="F377" s="6"/>
      <c r="G377" s="7" t="s">
        <v>87</v>
      </c>
      <c r="H377" s="6"/>
      <c r="I377" s="6"/>
      <c r="J377" s="6"/>
      <c r="K377" s="18"/>
      <c r="L377" s="6"/>
      <c r="M377" s="6"/>
      <c r="N377" s="76" t="e">
        <f>+N412</f>
        <v>#REF!</v>
      </c>
      <c r="O377" s="2" t="e">
        <f>+N377/#REF!-1</f>
        <v>#REF!</v>
      </c>
    </row>
    <row r="379" spans="1:15" s="2" customFormat="1" x14ac:dyDescent="0.25">
      <c r="A379" s="59"/>
      <c r="B379" s="1403" t="s">
        <v>298</v>
      </c>
      <c r="C379" s="1390" t="s">
        <v>299</v>
      </c>
      <c r="D379" s="1390"/>
      <c r="E379" s="1403" t="s">
        <v>4</v>
      </c>
      <c r="F379" s="1390" t="str">
        <f>+K384&amp;" . "&amp;K386&amp;" . "&amp;"("&amp;"1"&amp;" - "&amp;K390&amp;" . "&amp;K392&amp;")"&amp;" . "&amp;K341</f>
        <v>0,1 . 0,4207 . (1 - 8 . 0,08) . 193800000</v>
      </c>
      <c r="G379" s="1390"/>
      <c r="H379" s="1390"/>
      <c r="I379" s="1390"/>
      <c r="J379" s="1403" t="s">
        <v>4</v>
      </c>
      <c r="K379" s="13" t="e">
        <f>+((K384*K386)*(1-K390*K392)*K341)/K388</f>
        <v>#REF!</v>
      </c>
    </row>
    <row r="380" spans="1:15" s="2" customFormat="1" x14ac:dyDescent="0.25">
      <c r="A380" s="59"/>
      <c r="B380" s="1403"/>
      <c r="C380" s="1393" t="s">
        <v>50</v>
      </c>
      <c r="D380" s="1393"/>
      <c r="E380" s="1403"/>
      <c r="F380" s="1404" t="e">
        <f>+K388</f>
        <v>#REF!</v>
      </c>
      <c r="G380" s="1404"/>
      <c r="H380" s="1404"/>
      <c r="I380" s="1404"/>
      <c r="J380" s="1403"/>
      <c r="K380" s="13"/>
      <c r="N380" s="13"/>
    </row>
    <row r="382" spans="1:15" x14ac:dyDescent="0.25">
      <c r="B382" s="8" t="s">
        <v>5</v>
      </c>
    </row>
    <row r="384" spans="1:15" ht="39.6" x14ac:dyDescent="0.25">
      <c r="A384" s="35" t="s">
        <v>425</v>
      </c>
      <c r="B384" s="4" t="s">
        <v>88</v>
      </c>
      <c r="C384" s="8" t="s">
        <v>300</v>
      </c>
      <c r="K384" s="72">
        <f>+'Hoja Llave'!J21</f>
        <v>0.1</v>
      </c>
    </row>
    <row r="385" spans="1:12" x14ac:dyDescent="0.25">
      <c r="B385" s="4"/>
    </row>
    <row r="386" spans="1:12" x14ac:dyDescent="0.25">
      <c r="B386" s="4" t="s">
        <v>193</v>
      </c>
      <c r="C386" s="8" t="s">
        <v>194</v>
      </c>
      <c r="K386" s="10">
        <f>+'Hoja Llave'!J41</f>
        <v>0.42070000000000002</v>
      </c>
    </row>
    <row r="387" spans="1:12" x14ac:dyDescent="0.25">
      <c r="B387" s="4"/>
    </row>
    <row r="388" spans="1:12" x14ac:dyDescent="0.25">
      <c r="A388" s="35" t="s">
        <v>404</v>
      </c>
      <c r="B388" s="4" t="s">
        <v>50</v>
      </c>
      <c r="C388" s="8" t="s">
        <v>235</v>
      </c>
      <c r="K388" s="75" t="e">
        <f>+'Hoja Llave'!#REF!</f>
        <v>#REF!</v>
      </c>
      <c r="L388" s="87" t="s">
        <v>397</v>
      </c>
    </row>
    <row r="389" spans="1:12" x14ac:dyDescent="0.25">
      <c r="B389" s="4"/>
    </row>
    <row r="390" spans="1:12" ht="26.4" x14ac:dyDescent="0.25">
      <c r="A390" s="35" t="s">
        <v>426</v>
      </c>
      <c r="B390" s="4" t="s">
        <v>301</v>
      </c>
      <c r="C390" s="8" t="s">
        <v>302</v>
      </c>
      <c r="K390" s="72">
        <f>+'Hoja Llave'!J55</f>
        <v>8</v>
      </c>
    </row>
    <row r="391" spans="1:12" x14ac:dyDescent="0.25">
      <c r="B391" s="4"/>
    </row>
    <row r="392" spans="1:12" x14ac:dyDescent="0.25">
      <c r="A392" s="35" t="s">
        <v>404</v>
      </c>
      <c r="B392" s="4" t="s">
        <v>83</v>
      </c>
      <c r="C392" s="8" t="s">
        <v>285</v>
      </c>
      <c r="K392" s="72">
        <f>+'Hoja Llave'!J20</f>
        <v>0.08</v>
      </c>
    </row>
    <row r="393" spans="1:12" x14ac:dyDescent="0.25">
      <c r="B393" s="4"/>
    </row>
    <row r="394" spans="1:12" x14ac:dyDescent="0.25">
      <c r="B394" s="4"/>
    </row>
    <row r="395" spans="1:12" x14ac:dyDescent="0.25">
      <c r="B395" s="1403" t="s">
        <v>304</v>
      </c>
      <c r="C395" s="1390" t="s">
        <v>305</v>
      </c>
      <c r="D395" s="1390"/>
      <c r="E395" s="1403" t="s">
        <v>4</v>
      </c>
      <c r="F395" s="1390" t="str">
        <f>+"("&amp;K400&amp;" . "&amp;K402&amp;" . "&amp;"("&amp;"1"&amp;" - "&amp;K406&amp;" . "&amp;K408&amp;")"&amp;" . "&amp;K410</f>
        <v>(0,1 . 0,5793 . (1 - 8 . 0,08) . 292600000</v>
      </c>
      <c r="G395" s="1390"/>
      <c r="H395" s="1390"/>
      <c r="I395" s="1390"/>
      <c r="J395" s="1403" t="s">
        <v>4</v>
      </c>
      <c r="K395" s="13" t="e">
        <f>+((K400*K402)*(1-K406*K408)*K410)/K404</f>
        <v>#REF!</v>
      </c>
    </row>
    <row r="396" spans="1:12" x14ac:dyDescent="0.25">
      <c r="B396" s="1403"/>
      <c r="C396" s="1393" t="s">
        <v>234</v>
      </c>
      <c r="D396" s="1393"/>
      <c r="E396" s="1403"/>
      <c r="F396" s="1404" t="e">
        <f>+K404</f>
        <v>#REF!</v>
      </c>
      <c r="G396" s="1404"/>
      <c r="H396" s="1404"/>
      <c r="I396" s="1404"/>
      <c r="J396" s="1403"/>
      <c r="K396" s="13"/>
    </row>
    <row r="398" spans="1:12" x14ac:dyDescent="0.25">
      <c r="B398" s="8" t="s">
        <v>5</v>
      </c>
    </row>
    <row r="400" spans="1:12" ht="39.6" x14ac:dyDescent="0.25">
      <c r="A400" s="35" t="s">
        <v>425</v>
      </c>
      <c r="B400" s="4" t="s">
        <v>88</v>
      </c>
      <c r="C400" s="8" t="s">
        <v>300</v>
      </c>
      <c r="K400" s="72">
        <f>+'Hoja Llave'!J21</f>
        <v>0.1</v>
      </c>
    </row>
    <row r="401" spans="1:15" x14ac:dyDescent="0.25">
      <c r="B401" s="4"/>
    </row>
    <row r="402" spans="1:15" x14ac:dyDescent="0.25">
      <c r="B402" s="4" t="s">
        <v>203</v>
      </c>
      <c r="C402" s="8" t="s">
        <v>206</v>
      </c>
      <c r="K402" s="10">
        <f>+'Hoja Llave'!J42</f>
        <v>0.57930000000000004</v>
      </c>
    </row>
    <row r="403" spans="1:15" x14ac:dyDescent="0.25">
      <c r="B403" s="4"/>
    </row>
    <row r="404" spans="1:15" x14ac:dyDescent="0.25">
      <c r="A404" s="35" t="s">
        <v>404</v>
      </c>
      <c r="B404" s="4" t="s">
        <v>234</v>
      </c>
      <c r="C404" s="8" t="s">
        <v>236</v>
      </c>
      <c r="K404" s="75" t="e">
        <f>+'Hoja Llave'!#REF!</f>
        <v>#REF!</v>
      </c>
      <c r="L404" s="87" t="s">
        <v>397</v>
      </c>
    </row>
    <row r="405" spans="1:15" x14ac:dyDescent="0.25">
      <c r="B405" s="4"/>
    </row>
    <row r="406" spans="1:15" ht="26.4" x14ac:dyDescent="0.25">
      <c r="A406" s="35" t="s">
        <v>426</v>
      </c>
      <c r="B406" s="4" t="s">
        <v>301</v>
      </c>
      <c r="C406" s="8" t="s">
        <v>302</v>
      </c>
      <c r="K406" s="72">
        <f>+'Hoja Llave'!J55</f>
        <v>8</v>
      </c>
    </row>
    <row r="407" spans="1:15" x14ac:dyDescent="0.25">
      <c r="B407" s="4"/>
    </row>
    <row r="408" spans="1:15" x14ac:dyDescent="0.25">
      <c r="A408" s="35" t="s">
        <v>404</v>
      </c>
      <c r="B408" s="4" t="s">
        <v>83</v>
      </c>
      <c r="C408" s="8" t="s">
        <v>285</v>
      </c>
      <c r="K408" s="10">
        <f>+'Hoja Llave'!J20</f>
        <v>0.08</v>
      </c>
    </row>
    <row r="409" spans="1:15" x14ac:dyDescent="0.25">
      <c r="B409" s="4"/>
    </row>
    <row r="410" spans="1:15" x14ac:dyDescent="0.25">
      <c r="B410" s="4" t="s">
        <v>306</v>
      </c>
      <c r="C410" s="8" t="s">
        <v>292</v>
      </c>
      <c r="K410" s="10">
        <f>+K364</f>
        <v>292600000</v>
      </c>
    </row>
    <row r="411" spans="1:15" x14ac:dyDescent="0.25">
      <c r="B411" s="4"/>
      <c r="C411" s="8"/>
    </row>
    <row r="412" spans="1:15" s="2" customFormat="1" x14ac:dyDescent="0.25">
      <c r="A412" s="59"/>
      <c r="B412" s="4" t="s">
        <v>307</v>
      </c>
      <c r="C412" s="1393" t="s">
        <v>308</v>
      </c>
      <c r="D412" s="1393"/>
      <c r="E412" s="1393"/>
      <c r="F412" s="2" t="s">
        <v>4</v>
      </c>
      <c r="G412" s="1398" t="e">
        <f>+ROUND(K379,4)&amp;" + "&amp;ROUND(K395,4)</f>
        <v>#REF!</v>
      </c>
      <c r="H412" s="1393"/>
      <c r="I412" s="1393"/>
      <c r="J412" s="1393"/>
      <c r="K412" s="13" t="s">
        <v>4</v>
      </c>
      <c r="N412" s="13" t="e">
        <f>+K379+K395</f>
        <v>#REF!</v>
      </c>
    </row>
    <row r="413" spans="1:15" x14ac:dyDescent="0.25">
      <c r="B413" s="4"/>
    </row>
    <row r="415" spans="1:15" s="2" customFormat="1" x14ac:dyDescent="0.25">
      <c r="A415" s="59"/>
      <c r="B415" s="5" t="s">
        <v>89</v>
      </c>
      <c r="C415" s="6" t="s">
        <v>90</v>
      </c>
      <c r="D415" s="6"/>
      <c r="E415" s="6"/>
      <c r="F415" s="6"/>
      <c r="G415" s="7" t="s">
        <v>106</v>
      </c>
      <c r="H415" s="6"/>
      <c r="I415" s="6"/>
      <c r="J415" s="6"/>
      <c r="K415" s="18"/>
      <c r="L415" s="6"/>
      <c r="M415" s="6"/>
      <c r="N415" s="76">
        <f>+N419</f>
        <v>200.68877151334095</v>
      </c>
      <c r="O415" s="2" t="e">
        <f>+N415/#REF!-1</f>
        <v>#REF!</v>
      </c>
    </row>
    <row r="417" spans="1:15" x14ac:dyDescent="0.25">
      <c r="B417" s="8" t="s">
        <v>91</v>
      </c>
    </row>
    <row r="419" spans="1:15" s="2" customFormat="1" ht="79.2" x14ac:dyDescent="0.25">
      <c r="A419" s="59" t="s">
        <v>427</v>
      </c>
      <c r="B419" s="4" t="s">
        <v>92</v>
      </c>
      <c r="C419" s="1393" t="s">
        <v>93</v>
      </c>
      <c r="D419" s="1393"/>
      <c r="E419" s="4" t="s">
        <v>4</v>
      </c>
      <c r="F419" s="1405">
        <f>+N374</f>
        <v>200.68877151334095</v>
      </c>
      <c r="G419" s="1405"/>
      <c r="H419" s="1405"/>
      <c r="I419" s="1405"/>
      <c r="J419" s="4" t="s">
        <v>4</v>
      </c>
      <c r="K419" s="13"/>
      <c r="N419" s="13">
        <f>+N374</f>
        <v>200.68877151334095</v>
      </c>
    </row>
    <row r="422" spans="1:15" s="2" customFormat="1" x14ac:dyDescent="0.25">
      <c r="A422" s="59"/>
      <c r="B422" s="5" t="s">
        <v>94</v>
      </c>
      <c r="C422" s="6" t="s">
        <v>95</v>
      </c>
      <c r="D422" s="6"/>
      <c r="E422" s="6"/>
      <c r="F422" s="6"/>
      <c r="G422" s="7" t="s">
        <v>107</v>
      </c>
      <c r="H422" s="6"/>
      <c r="I422" s="6"/>
      <c r="J422" s="6"/>
      <c r="K422" s="18"/>
      <c r="L422" s="6"/>
      <c r="M422" s="6"/>
      <c r="N422" s="76" t="e">
        <f>+N427</f>
        <v>#REF!</v>
      </c>
      <c r="O422" s="2" t="e">
        <f>+N422/#REF!-1</f>
        <v>#REF!</v>
      </c>
    </row>
    <row r="423" spans="1:15" x14ac:dyDescent="0.25">
      <c r="B423" s="2" t="s">
        <v>96</v>
      </c>
    </row>
    <row r="424" spans="1:15" ht="12.75" customHeight="1" x14ac:dyDescent="0.25">
      <c r="B424" s="1406" t="s">
        <v>97</v>
      </c>
      <c r="C424" s="1406"/>
      <c r="D424" s="1406"/>
      <c r="E424" s="1406"/>
      <c r="F424" s="1406"/>
      <c r="G424" s="1406"/>
      <c r="H424" s="1406"/>
      <c r="I424" s="1406"/>
      <c r="J424" s="1406"/>
      <c r="K424" s="1406"/>
      <c r="L424" s="1406"/>
      <c r="M424" s="1406"/>
      <c r="N424" s="1406"/>
    </row>
    <row r="425" spans="1:15" x14ac:dyDescent="0.25">
      <c r="B425" s="1406"/>
      <c r="C425" s="1406"/>
      <c r="D425" s="1406"/>
      <c r="E425" s="1406"/>
      <c r="F425" s="1406"/>
      <c r="G425" s="1406"/>
      <c r="H425" s="1406"/>
      <c r="I425" s="1406"/>
      <c r="J425" s="1406"/>
      <c r="K425" s="1406"/>
      <c r="L425" s="1406"/>
      <c r="M425" s="1406"/>
      <c r="N425" s="1406"/>
    </row>
    <row r="427" spans="1:15" s="2" customFormat="1" x14ac:dyDescent="0.25">
      <c r="A427" s="59"/>
      <c r="B427" s="1403" t="s">
        <v>98</v>
      </c>
      <c r="C427" s="1390" t="s">
        <v>99</v>
      </c>
      <c r="D427" s="1390"/>
      <c r="E427" s="1403" t="s">
        <v>4</v>
      </c>
      <c r="F427" s="1390" t="str">
        <f>1.3&amp;" . "&amp;K432</f>
        <v>1,3 . 93803,21</v>
      </c>
      <c r="G427" s="1390"/>
      <c r="H427" s="1390"/>
      <c r="I427" s="1390"/>
      <c r="J427" s="1403" t="s">
        <v>4</v>
      </c>
      <c r="K427" s="13"/>
      <c r="N427" s="80" t="e">
        <f>(1.3*K432)/((K440*K434)+(K436*K438))</f>
        <v>#REF!</v>
      </c>
      <c r="O427" s="2" t="e">
        <f>+N427/#REF!-1</f>
        <v>#REF!</v>
      </c>
    </row>
    <row r="428" spans="1:15" s="2" customFormat="1" x14ac:dyDescent="0.25">
      <c r="A428" s="59"/>
      <c r="B428" s="1403"/>
      <c r="C428" s="1393" t="s">
        <v>337</v>
      </c>
      <c r="D428" s="1393"/>
      <c r="E428" s="1403"/>
      <c r="F428" s="1396" t="e">
        <f>+K440&amp;" . "&amp;K434&amp;" + "&amp;K436&amp;" . "&amp;K438</f>
        <v>#REF!</v>
      </c>
      <c r="G428" s="1396"/>
      <c r="H428" s="1396"/>
      <c r="I428" s="1396"/>
      <c r="J428" s="1403"/>
      <c r="K428" s="13"/>
      <c r="N428" s="13"/>
    </row>
    <row r="430" spans="1:15" x14ac:dyDescent="0.25">
      <c r="B430" s="8" t="s">
        <v>5</v>
      </c>
    </row>
    <row r="432" spans="1:15" x14ac:dyDescent="0.25">
      <c r="B432" s="4" t="s">
        <v>100</v>
      </c>
      <c r="C432" s="8" t="s">
        <v>309</v>
      </c>
      <c r="K432" s="108">
        <f>+'Hoja Llave'!J22*N5</f>
        <v>93803.21</v>
      </c>
    </row>
    <row r="433" spans="1:15" x14ac:dyDescent="0.25">
      <c r="B433" s="4"/>
    </row>
    <row r="434" spans="1:15" x14ac:dyDescent="0.25">
      <c r="B434" s="4" t="s">
        <v>329</v>
      </c>
      <c r="C434" s="8" t="s">
        <v>310</v>
      </c>
      <c r="K434" s="72" t="e">
        <f>+'Hoja Llave'!#REF!</f>
        <v>#REF!</v>
      </c>
    </row>
    <row r="435" spans="1:15" x14ac:dyDescent="0.25">
      <c r="B435" s="4"/>
    </row>
    <row r="436" spans="1:15" x14ac:dyDescent="0.25">
      <c r="B436" s="4" t="s">
        <v>203</v>
      </c>
      <c r="C436" s="8" t="s">
        <v>206</v>
      </c>
      <c r="K436" s="72">
        <f>+'Hoja Llave'!J42</f>
        <v>0.57930000000000004</v>
      </c>
    </row>
    <row r="437" spans="1:15" x14ac:dyDescent="0.25">
      <c r="B437" s="4"/>
    </row>
    <row r="438" spans="1:15" x14ac:dyDescent="0.25">
      <c r="B438" s="4" t="s">
        <v>234</v>
      </c>
      <c r="C438" s="8" t="s">
        <v>311</v>
      </c>
      <c r="K438" s="72" t="e">
        <f>+'Hoja Llave'!#REF!</f>
        <v>#REF!</v>
      </c>
    </row>
    <row r="439" spans="1:15" x14ac:dyDescent="0.25">
      <c r="B439" s="4"/>
    </row>
    <row r="440" spans="1:15" x14ac:dyDescent="0.25">
      <c r="B440" s="4" t="s">
        <v>193</v>
      </c>
      <c r="C440" s="8" t="s">
        <v>206</v>
      </c>
      <c r="K440" s="72">
        <f>+'Hoja Llave'!J41</f>
        <v>0.42070000000000002</v>
      </c>
    </row>
    <row r="443" spans="1:15" s="2" customFormat="1" x14ac:dyDescent="0.25">
      <c r="A443" s="59"/>
      <c r="B443" s="5" t="s">
        <v>101</v>
      </c>
      <c r="C443" s="6"/>
      <c r="D443" s="6"/>
      <c r="E443" s="6"/>
      <c r="F443" s="6"/>
      <c r="G443" s="7"/>
      <c r="H443" s="6"/>
      <c r="I443" s="6"/>
      <c r="J443" s="6"/>
      <c r="K443" s="18"/>
      <c r="L443" s="6"/>
      <c r="M443" s="6"/>
      <c r="N443" s="76" t="e">
        <f>+N445</f>
        <v>#REF!</v>
      </c>
      <c r="O443" s="2" t="e">
        <f>+N443/#REF!-1</f>
        <v>#REF!</v>
      </c>
    </row>
    <row r="445" spans="1:15" s="2" customFormat="1" ht="15.6" x14ac:dyDescent="0.3">
      <c r="A445" s="59"/>
      <c r="B445" s="4" t="s">
        <v>102</v>
      </c>
      <c r="C445" s="1393" t="s">
        <v>103</v>
      </c>
      <c r="D445" s="1393"/>
      <c r="E445" s="4" t="s">
        <v>4</v>
      </c>
      <c r="F445" s="1398" t="e">
        <f>+ROUND(N374,4)&amp;" + "&amp;ROUND(N412,4)&amp;" + "&amp;ROUND(N419,4)&amp;" + "&amp;ROUND(N427,4)</f>
        <v>#REF!</v>
      </c>
      <c r="G445" s="1398"/>
      <c r="H445" s="1398"/>
      <c r="I445" s="1398"/>
      <c r="J445" s="4" t="s">
        <v>4</v>
      </c>
      <c r="K445" s="13"/>
      <c r="N445" s="90" t="e">
        <f>+N427+N419+N412+N374</f>
        <v>#REF!</v>
      </c>
      <c r="O445" s="2" t="e">
        <f>+N445/#REF!-1</f>
        <v>#REF!</v>
      </c>
    </row>
    <row r="448" spans="1:15" s="2" customFormat="1" x14ac:dyDescent="0.25">
      <c r="A448" s="59"/>
      <c r="B448" s="5" t="s">
        <v>104</v>
      </c>
      <c r="C448" s="6" t="s">
        <v>105</v>
      </c>
      <c r="D448" s="6"/>
      <c r="E448" s="6"/>
      <c r="F448" s="6"/>
      <c r="G448" s="7" t="s">
        <v>108</v>
      </c>
      <c r="H448" s="6"/>
      <c r="I448" s="6"/>
      <c r="J448" s="6"/>
      <c r="K448" s="18"/>
      <c r="L448" s="6"/>
      <c r="M448" s="6"/>
      <c r="N448" s="11"/>
    </row>
    <row r="451" spans="1:15" s="2" customFormat="1" x14ac:dyDescent="0.25">
      <c r="A451" s="59"/>
      <c r="B451" s="5" t="s">
        <v>109</v>
      </c>
      <c r="C451" s="6" t="s">
        <v>110</v>
      </c>
      <c r="D451" s="6"/>
      <c r="E451" s="6"/>
      <c r="F451" s="6"/>
      <c r="G451" s="7" t="s">
        <v>111</v>
      </c>
      <c r="H451" s="6"/>
      <c r="I451" s="6"/>
      <c r="J451" s="6"/>
      <c r="K451" s="18"/>
      <c r="L451" s="6"/>
      <c r="M451" s="6"/>
      <c r="N451" s="11"/>
    </row>
    <row r="454" spans="1:15" s="2" customFormat="1" x14ac:dyDescent="0.25">
      <c r="A454" s="59"/>
      <c r="B454" s="5" t="s">
        <v>112</v>
      </c>
      <c r="C454" s="6" t="s">
        <v>113</v>
      </c>
      <c r="D454" s="6"/>
      <c r="E454" s="6"/>
      <c r="F454" s="6"/>
      <c r="G454" s="7" t="s">
        <v>114</v>
      </c>
      <c r="H454" s="6"/>
      <c r="I454" s="6"/>
      <c r="J454" s="6"/>
      <c r="K454" s="18"/>
      <c r="L454" s="6"/>
      <c r="M454" s="6"/>
      <c r="N454" s="76">
        <f>+N496</f>
        <v>4.0137754302668194</v>
      </c>
      <c r="O454" s="2" t="e">
        <f>+N454/#REF!-1</f>
        <v>#REF!</v>
      </c>
    </row>
    <row r="456" spans="1:15" x14ac:dyDescent="0.25">
      <c r="B456" s="8" t="s">
        <v>115</v>
      </c>
    </row>
    <row r="458" spans="1:15" s="2" customFormat="1" x14ac:dyDescent="0.25">
      <c r="A458" s="59"/>
      <c r="B458" s="4" t="s">
        <v>116</v>
      </c>
      <c r="C458" s="1393" t="s">
        <v>342</v>
      </c>
      <c r="D458" s="1393"/>
      <c r="E458" s="1393"/>
      <c r="F458" s="1393"/>
      <c r="G458" s="1393" t="str">
        <f>0.02&amp;" . "&amp;K474&amp;" . "&amp;"["&amp;"("&amp;K466&amp;" - "&amp;K462&amp;")"&amp;"/"&amp;"("&amp;K468&amp;" . "&amp;K464&amp;")"&amp;" - "&amp;"0,05"&amp;" . "&amp;"("&amp;K470&amp;" - "&amp;K472&amp;")"&amp;"]"</f>
        <v>0,02 . 0,4207 . [(193800000 - 38760000)/(77614,7569949827 . 10) - 0,05 . (8 - 5)]</v>
      </c>
      <c r="H458" s="1393"/>
      <c r="I458" s="1393"/>
      <c r="J458" s="1393"/>
      <c r="K458" s="1393"/>
      <c r="L458" s="17" t="s">
        <v>4</v>
      </c>
      <c r="M458" s="13">
        <f>0.02*K474*(((K466-K462)/(K468*K464)))</f>
        <v>1.6807455315286615</v>
      </c>
      <c r="N458" s="2" t="e">
        <f>+M458/#REF!-1</f>
        <v>#REF!</v>
      </c>
    </row>
    <row r="459" spans="1:15" x14ac:dyDescent="0.25">
      <c r="B459" s="4"/>
    </row>
    <row r="460" spans="1:15" x14ac:dyDescent="0.25">
      <c r="B460" s="8" t="s">
        <v>5</v>
      </c>
    </row>
    <row r="462" spans="1:15" x14ac:dyDescent="0.25">
      <c r="B462" s="4" t="s">
        <v>183</v>
      </c>
      <c r="C462" s="8" t="s">
        <v>338</v>
      </c>
      <c r="K462" s="108">
        <f>+'Hoja Llave'!J35*N5</f>
        <v>38760000</v>
      </c>
    </row>
    <row r="463" spans="1:15" x14ac:dyDescent="0.25">
      <c r="B463" s="4"/>
    </row>
    <row r="464" spans="1:15" x14ac:dyDescent="0.25">
      <c r="B464" s="4" t="s">
        <v>179</v>
      </c>
      <c r="C464" s="8" t="s">
        <v>312</v>
      </c>
      <c r="K464" s="72">
        <v>10</v>
      </c>
    </row>
    <row r="465" spans="1:14" x14ac:dyDescent="0.25">
      <c r="B465" s="4"/>
    </row>
    <row r="466" spans="1:14" x14ac:dyDescent="0.25">
      <c r="B466" s="4" t="s">
        <v>303</v>
      </c>
      <c r="C466" s="8" t="s">
        <v>313</v>
      </c>
      <c r="K466" s="10">
        <f>+'Hoja Llave'!J56*N5</f>
        <v>193800000</v>
      </c>
    </row>
    <row r="467" spans="1:14" x14ac:dyDescent="0.25">
      <c r="B467" s="4"/>
    </row>
    <row r="468" spans="1:14" x14ac:dyDescent="0.25">
      <c r="B468" s="4" t="s">
        <v>329</v>
      </c>
      <c r="C468" s="8" t="s">
        <v>235</v>
      </c>
      <c r="K468" s="10">
        <f>+'Hoja Llave'!J33</f>
        <v>77614.756994982657</v>
      </c>
    </row>
    <row r="469" spans="1:14" x14ac:dyDescent="0.25">
      <c r="B469" s="4"/>
    </row>
    <row r="470" spans="1:14" ht="26.4" x14ac:dyDescent="0.25">
      <c r="A470" s="35" t="s">
        <v>428</v>
      </c>
      <c r="B470" s="4" t="s">
        <v>301</v>
      </c>
      <c r="C470" s="8" t="s">
        <v>314</v>
      </c>
      <c r="K470" s="10">
        <f>+'Hoja Llave'!J55</f>
        <v>8</v>
      </c>
    </row>
    <row r="471" spans="1:14" x14ac:dyDescent="0.25">
      <c r="B471" s="4"/>
    </row>
    <row r="472" spans="1:14" ht="26.4" x14ac:dyDescent="0.25">
      <c r="A472" s="35" t="s">
        <v>428</v>
      </c>
      <c r="B472" s="4" t="s">
        <v>315</v>
      </c>
      <c r="C472" s="8" t="s">
        <v>316</v>
      </c>
      <c r="K472" s="72">
        <f>+'Hoja Llave'!J58</f>
        <v>5</v>
      </c>
    </row>
    <row r="473" spans="1:14" x14ac:dyDescent="0.25">
      <c r="B473" s="4"/>
    </row>
    <row r="474" spans="1:14" x14ac:dyDescent="0.25">
      <c r="B474" s="4" t="s">
        <v>193</v>
      </c>
      <c r="C474" s="8" t="s">
        <v>317</v>
      </c>
      <c r="K474" s="10">
        <f>+'Hoja Llave'!J41</f>
        <v>0.42070000000000002</v>
      </c>
    </row>
    <row r="475" spans="1:14" x14ac:dyDescent="0.25">
      <c r="B475" s="4"/>
      <c r="C475" s="8"/>
    </row>
    <row r="476" spans="1:14" x14ac:dyDescent="0.25">
      <c r="B476" s="4"/>
      <c r="C476" s="8"/>
    </row>
    <row r="477" spans="1:14" x14ac:dyDescent="0.25">
      <c r="A477" s="59"/>
      <c r="B477" s="4" t="s">
        <v>318</v>
      </c>
      <c r="C477" s="1393" t="s">
        <v>341</v>
      </c>
      <c r="D477" s="1393"/>
      <c r="E477" s="1393"/>
      <c r="F477" s="1393"/>
      <c r="G477" s="1393" t="str">
        <f>0.02&amp;" . "&amp;K493&amp;" . "&amp;"["&amp;"("&amp;K485&amp;" - "&amp;K481&amp;")"&amp;"/"&amp;"("&amp;K487&amp;" . "&amp;K483&amp;")"&amp;" - "&amp;"0,05"&amp;" . "&amp;"("&amp;K489&amp;" - "&amp;K491&amp;")"&amp;"]"</f>
        <v>0,02 . 0,5793 . [(292600000 - 58520000)/(116245,869007801 . 10) - 0,05 . (8 - 5)]</v>
      </c>
      <c r="H477" s="1393"/>
      <c r="I477" s="1393"/>
      <c r="J477" s="1393"/>
      <c r="K477" s="1393"/>
      <c r="L477" s="8" t="s">
        <v>4</v>
      </c>
      <c r="M477" s="13">
        <f>0.02*K493*(((K485-K481)/(K487*K483)))</f>
        <v>2.3330298987381579</v>
      </c>
      <c r="N477" s="2" t="e">
        <f>+M477/#REF!-1</f>
        <v>#REF!</v>
      </c>
    </row>
    <row r="478" spans="1:14" x14ac:dyDescent="0.25">
      <c r="B478" s="4"/>
    </row>
    <row r="479" spans="1:14" x14ac:dyDescent="0.25">
      <c r="B479" s="8" t="s">
        <v>5</v>
      </c>
    </row>
    <row r="481" spans="1:15" s="19" customFormat="1" x14ac:dyDescent="0.25">
      <c r="A481" s="116"/>
      <c r="B481" s="61" t="s">
        <v>319</v>
      </c>
      <c r="C481" s="47" t="s">
        <v>339</v>
      </c>
      <c r="G481" s="46"/>
      <c r="K481" s="108">
        <f>+'Hoja Llave'!J36*N5</f>
        <v>58520000</v>
      </c>
      <c r="N481" s="20"/>
    </row>
    <row r="482" spans="1:15" x14ac:dyDescent="0.25">
      <c r="B482" s="4"/>
    </row>
    <row r="483" spans="1:15" x14ac:dyDescent="0.25">
      <c r="B483" s="4" t="s">
        <v>179</v>
      </c>
      <c r="C483" s="8" t="s">
        <v>312</v>
      </c>
      <c r="K483" s="72">
        <f>+'Hoja Llave'!J24</f>
        <v>10</v>
      </c>
    </row>
    <row r="484" spans="1:15" x14ac:dyDescent="0.25">
      <c r="B484" s="4"/>
    </row>
    <row r="485" spans="1:15" x14ac:dyDescent="0.25">
      <c r="B485" s="4" t="s">
        <v>306</v>
      </c>
      <c r="C485" s="8" t="s">
        <v>320</v>
      </c>
      <c r="K485" s="10">
        <f>+'Hoja Llave'!J57*N5</f>
        <v>292600000</v>
      </c>
    </row>
    <row r="486" spans="1:15" x14ac:dyDescent="0.25">
      <c r="B486" s="4"/>
    </row>
    <row r="487" spans="1:15" x14ac:dyDescent="0.25">
      <c r="B487" s="4" t="s">
        <v>234</v>
      </c>
      <c r="C487" s="8" t="s">
        <v>236</v>
      </c>
      <c r="K487" s="10">
        <f>+'Hoja Llave'!J34</f>
        <v>116245.86900780138</v>
      </c>
    </row>
    <row r="488" spans="1:15" x14ac:dyDescent="0.25">
      <c r="B488" s="4"/>
    </row>
    <row r="489" spans="1:15" ht="26.4" x14ac:dyDescent="0.25">
      <c r="A489" s="35" t="s">
        <v>428</v>
      </c>
      <c r="B489" s="4" t="s">
        <v>301</v>
      </c>
      <c r="C489" s="8" t="s">
        <v>314</v>
      </c>
      <c r="K489" s="10">
        <f>+'Hoja Llave'!J55</f>
        <v>8</v>
      </c>
    </row>
    <row r="490" spans="1:15" x14ac:dyDescent="0.25">
      <c r="B490" s="4"/>
    </row>
    <row r="491" spans="1:15" ht="26.4" x14ac:dyDescent="0.25">
      <c r="A491" s="35" t="s">
        <v>428</v>
      </c>
      <c r="B491" s="4" t="s">
        <v>315</v>
      </c>
      <c r="C491" s="8" t="s">
        <v>316</v>
      </c>
      <c r="K491" s="72">
        <f>+'Hoja Llave'!J58</f>
        <v>5</v>
      </c>
    </row>
    <row r="492" spans="1:15" x14ac:dyDescent="0.25">
      <c r="B492" s="4"/>
    </row>
    <row r="493" spans="1:15" x14ac:dyDescent="0.25">
      <c r="B493" s="4" t="s">
        <v>203</v>
      </c>
      <c r="C493" s="8" t="s">
        <v>321</v>
      </c>
      <c r="K493" s="10">
        <f>+'Hoja Llave'!J42</f>
        <v>0.57930000000000004</v>
      </c>
    </row>
    <row r="494" spans="1:15" x14ac:dyDescent="0.25">
      <c r="B494" s="4"/>
      <c r="C494" s="8"/>
    </row>
    <row r="495" spans="1:15" x14ac:dyDescent="0.25">
      <c r="B495" s="4"/>
      <c r="C495" s="8"/>
    </row>
    <row r="496" spans="1:15" s="2" customFormat="1" x14ac:dyDescent="0.25">
      <c r="A496" s="59"/>
      <c r="B496" s="4" t="s">
        <v>322</v>
      </c>
      <c r="C496" s="1393" t="s">
        <v>323</v>
      </c>
      <c r="D496" s="1393"/>
      <c r="E496" s="1393"/>
      <c r="F496" s="1393"/>
      <c r="G496" s="4" t="s">
        <v>4</v>
      </c>
      <c r="H496" s="1393" t="str">
        <f>+ROUND(M458,4)&amp;" + "&amp;ROUND(M477,4)</f>
        <v>1,6807 + 2,333</v>
      </c>
      <c r="I496" s="1393"/>
      <c r="J496" s="1393"/>
      <c r="K496" s="13" t="s">
        <v>4</v>
      </c>
      <c r="N496" s="80">
        <f>+M458+M477</f>
        <v>4.0137754302668194</v>
      </c>
      <c r="O496" s="2" t="e">
        <f>+N496/#REF!-1</f>
        <v>#REF!</v>
      </c>
    </row>
    <row r="497" spans="1:15" x14ac:dyDescent="0.25">
      <c r="B497" s="4"/>
    </row>
    <row r="498" spans="1:15" s="2" customFormat="1" x14ac:dyDescent="0.25">
      <c r="A498" s="59"/>
      <c r="B498" s="5" t="s">
        <v>117</v>
      </c>
      <c r="C498" s="6" t="s">
        <v>118</v>
      </c>
      <c r="D498" s="6"/>
      <c r="E498" s="6"/>
      <c r="F498" s="6"/>
      <c r="G498" s="7" t="s">
        <v>119</v>
      </c>
      <c r="H498" s="6"/>
      <c r="I498" s="6"/>
      <c r="J498" s="6"/>
      <c r="K498" s="18"/>
      <c r="L498" s="6"/>
      <c r="M498" s="6"/>
      <c r="N498" s="76" t="e">
        <f>+N502</f>
        <v>#REF!</v>
      </c>
      <c r="O498" s="2" t="e">
        <f>+N498/#REF!-1</f>
        <v>#REF!</v>
      </c>
    </row>
    <row r="500" spans="1:15" x14ac:dyDescent="0.25">
      <c r="B500" s="8" t="s">
        <v>120</v>
      </c>
    </row>
    <row r="502" spans="1:15" s="2" customFormat="1" ht="39.6" x14ac:dyDescent="0.25">
      <c r="A502" s="59" t="s">
        <v>429</v>
      </c>
      <c r="B502" s="4" t="s">
        <v>121</v>
      </c>
      <c r="C502" s="1393" t="s">
        <v>122</v>
      </c>
      <c r="D502" s="1393"/>
      <c r="E502" s="4" t="s">
        <v>4</v>
      </c>
      <c r="F502" s="1393" t="e">
        <f>0.1&amp;" . "&amp;ROUND(N412,4)</f>
        <v>#REF!</v>
      </c>
      <c r="G502" s="1393"/>
      <c r="H502" s="1393"/>
      <c r="I502" s="1393"/>
      <c r="J502" s="4" t="s">
        <v>4</v>
      </c>
      <c r="K502" s="13"/>
      <c r="N502" s="88" t="e">
        <f>0.1*N412</f>
        <v>#REF!</v>
      </c>
      <c r="O502" s="2" t="e">
        <f>+N502/#REF!-1</f>
        <v>#REF!</v>
      </c>
    </row>
    <row r="505" spans="1:15" s="2" customFormat="1" x14ac:dyDescent="0.25">
      <c r="A505" s="59"/>
      <c r="B505" s="5" t="s">
        <v>123</v>
      </c>
      <c r="C505" s="6" t="s">
        <v>124</v>
      </c>
      <c r="D505" s="6"/>
      <c r="E505" s="6"/>
      <c r="F505" s="6"/>
      <c r="G505" s="7" t="s">
        <v>129</v>
      </c>
      <c r="H505" s="6"/>
      <c r="I505" s="6"/>
      <c r="J505" s="6"/>
      <c r="K505" s="18"/>
      <c r="L505" s="6"/>
      <c r="M505" s="6"/>
      <c r="N505" s="76">
        <f>+N509</f>
        <v>4.2315370401249135</v>
      </c>
      <c r="O505" s="2" t="e">
        <f>+N505/#REF!-1</f>
        <v>#REF!</v>
      </c>
    </row>
    <row r="507" spans="1:15" x14ac:dyDescent="0.25">
      <c r="B507" s="8" t="s">
        <v>125</v>
      </c>
    </row>
    <row r="509" spans="1:15" s="2" customFormat="1" x14ac:dyDescent="0.25">
      <c r="A509" s="59"/>
      <c r="B509" s="21" t="s">
        <v>126</v>
      </c>
      <c r="C509" s="1400" t="s">
        <v>127</v>
      </c>
      <c r="D509" s="1400"/>
      <c r="E509" s="1389" t="s">
        <v>4</v>
      </c>
      <c r="F509" s="1401">
        <f>+K514</f>
        <v>423127.3</v>
      </c>
      <c r="G509" s="1401"/>
      <c r="H509" s="1401"/>
      <c r="I509" s="1401"/>
      <c r="J509" s="1389" t="s">
        <v>4</v>
      </c>
      <c r="K509" s="13"/>
      <c r="N509" s="80">
        <f>+F509/((K520*K518)+(K516*K522))</f>
        <v>4.2315370401249135</v>
      </c>
      <c r="O509" s="2" t="e">
        <f>+N509/#REF!-1</f>
        <v>#REF!</v>
      </c>
    </row>
    <row r="510" spans="1:15" s="2" customFormat="1" x14ac:dyDescent="0.25">
      <c r="A510" s="59"/>
      <c r="B510" s="21"/>
      <c r="C510" s="1389" t="s">
        <v>324</v>
      </c>
      <c r="D510" s="1389"/>
      <c r="E510" s="1389"/>
      <c r="F510" s="1396" t="str">
        <f>+K520&amp;" . "&amp;K518&amp;" + "&amp;K522&amp;" . "&amp;K516</f>
        <v>77614,7569949827 . 0,4207 + 116245,869007801 . 0,5793</v>
      </c>
      <c r="G510" s="1396"/>
      <c r="H510" s="1396"/>
      <c r="I510" s="1396"/>
      <c r="J510" s="1389"/>
      <c r="K510" s="13"/>
      <c r="N510" s="13"/>
    </row>
    <row r="512" spans="1:15" x14ac:dyDescent="0.25">
      <c r="B512" s="8" t="s">
        <v>5</v>
      </c>
    </row>
    <row r="514" spans="1:15" x14ac:dyDescent="0.25">
      <c r="A514" s="35" t="s">
        <v>404</v>
      </c>
      <c r="B514" s="2" t="s">
        <v>127</v>
      </c>
      <c r="C514" s="8" t="s">
        <v>325</v>
      </c>
      <c r="K514" s="72">
        <f>+'Hoja Llave'!J25*N5</f>
        <v>423127.3</v>
      </c>
    </row>
    <row r="516" spans="1:15" x14ac:dyDescent="0.25">
      <c r="B516" s="2" t="s">
        <v>203</v>
      </c>
      <c r="C516" s="8" t="s">
        <v>206</v>
      </c>
      <c r="K516" s="10">
        <f>+'Hoja Llave'!J42</f>
        <v>0.57930000000000004</v>
      </c>
    </row>
    <row r="518" spans="1:15" x14ac:dyDescent="0.25">
      <c r="B518" s="2" t="s">
        <v>193</v>
      </c>
      <c r="C518" s="8" t="s">
        <v>194</v>
      </c>
      <c r="K518" s="10">
        <f>+'Hoja Llave'!J41</f>
        <v>0.42070000000000002</v>
      </c>
    </row>
    <row r="520" spans="1:15" x14ac:dyDescent="0.25">
      <c r="B520" s="2" t="s">
        <v>333</v>
      </c>
      <c r="C520" s="8" t="s">
        <v>326</v>
      </c>
      <c r="K520" s="10">
        <f>+'Hoja Llave'!J33</f>
        <v>77614.756994982657</v>
      </c>
    </row>
    <row r="522" spans="1:15" x14ac:dyDescent="0.25">
      <c r="B522" s="2" t="s">
        <v>234</v>
      </c>
      <c r="C522" s="8" t="s">
        <v>327</v>
      </c>
      <c r="K522" s="10">
        <f>+'Hoja Llave'!J34</f>
        <v>116245.86900780138</v>
      </c>
    </row>
    <row r="524" spans="1:15" s="2" customFormat="1" x14ac:dyDescent="0.25">
      <c r="A524" s="59"/>
      <c r="B524" s="4" t="s">
        <v>164</v>
      </c>
      <c r="C524" s="1393" t="s">
        <v>130</v>
      </c>
      <c r="D524" s="1393"/>
      <c r="F524" s="1393" t="e">
        <f>+ROUND(N496,4)&amp;" + "&amp;ROUND(N502,4)&amp;" + "&amp;ROUND(N509,4)</f>
        <v>#REF!</v>
      </c>
      <c r="G524" s="1393"/>
      <c r="H524" s="1393"/>
      <c r="I524" s="1393"/>
      <c r="J524" s="4" t="s">
        <v>4</v>
      </c>
      <c r="K524" s="13"/>
      <c r="N524" s="80" t="e">
        <f>+N509+N502+N496</f>
        <v>#REF!</v>
      </c>
      <c r="O524" s="2" t="e">
        <f>+N524/#REF!-1</f>
        <v>#REF!</v>
      </c>
    </row>
    <row r="527" spans="1:15" s="2" customFormat="1" x14ac:dyDescent="0.25">
      <c r="A527" s="59"/>
      <c r="B527" s="5" t="s">
        <v>131</v>
      </c>
      <c r="C527" s="6" t="s">
        <v>132</v>
      </c>
      <c r="D527" s="6"/>
      <c r="E527" s="6"/>
      <c r="F527" s="6"/>
      <c r="G527" s="7" t="s">
        <v>153</v>
      </c>
      <c r="H527" s="6"/>
      <c r="I527" s="6"/>
      <c r="J527" s="6"/>
      <c r="K527" s="18"/>
      <c r="L527" s="6"/>
      <c r="M527" s="6"/>
      <c r="N527" s="76" t="e">
        <f>+N529</f>
        <v>#REF!</v>
      </c>
      <c r="O527" s="2" t="e">
        <f>+N527/#REF!-1</f>
        <v>#REF!</v>
      </c>
    </row>
    <row r="529" spans="1:15" s="2" customFormat="1" x14ac:dyDescent="0.25">
      <c r="A529" s="59" t="s">
        <v>430</v>
      </c>
      <c r="B529" s="4" t="s">
        <v>133</v>
      </c>
      <c r="C529" s="2" t="s">
        <v>138</v>
      </c>
      <c r="F529" s="1393" t="e">
        <f>0.03&amp;" . "&amp;"("&amp;ROUND(N181,4)&amp;" + "&amp;ROUND(N320,4)&amp;" + "&amp;ROUND(N445,4)&amp;" + "&amp;ROUND(N524,4)&amp;")"</f>
        <v>#REF!</v>
      </c>
      <c r="G529" s="1393"/>
      <c r="H529" s="1393"/>
      <c r="I529" s="1393"/>
      <c r="J529" s="1393"/>
      <c r="K529" s="14" t="s">
        <v>4</v>
      </c>
      <c r="N529" s="80" t="e">
        <f>0.03*(N181+N320+N445+N524)</f>
        <v>#REF!</v>
      </c>
      <c r="O529" s="2" t="e">
        <f>+N529/#REF!-1</f>
        <v>#REF!</v>
      </c>
    </row>
    <row r="532" spans="1:15" s="2" customFormat="1" x14ac:dyDescent="0.25">
      <c r="A532" s="59"/>
      <c r="B532" s="5" t="s">
        <v>134</v>
      </c>
      <c r="C532" s="6" t="s">
        <v>135</v>
      </c>
      <c r="D532" s="6"/>
      <c r="E532" s="6"/>
      <c r="F532" s="6"/>
      <c r="G532" s="7" t="s">
        <v>152</v>
      </c>
      <c r="H532" s="6"/>
      <c r="I532" s="6"/>
      <c r="J532" s="6"/>
      <c r="K532" s="18"/>
      <c r="L532" s="6"/>
      <c r="M532" s="6"/>
      <c r="N532" s="76" t="e">
        <f>+N534</f>
        <v>#REF!</v>
      </c>
      <c r="O532" s="2" t="e">
        <f>+N532/#REF!-1</f>
        <v>#REF!</v>
      </c>
    </row>
    <row r="533" spans="1:15" x14ac:dyDescent="0.25">
      <c r="B533" s="4"/>
    </row>
    <row r="534" spans="1:15" s="2" customFormat="1" ht="39.6" x14ac:dyDescent="0.25">
      <c r="A534" s="59" t="s">
        <v>431</v>
      </c>
      <c r="B534" s="4" t="s">
        <v>136</v>
      </c>
      <c r="C534" s="2" t="s">
        <v>137</v>
      </c>
      <c r="F534" s="1393" t="e">
        <f>0.1&amp;" . "&amp;"("&amp;ROUND(N181,4)&amp;" + "&amp;ROUND(N320,4)&amp;" + "&amp;ROUND(N445,4)&amp;" + "&amp;ROUND(N524,4)&amp;" + "&amp;ROUND(N529,4)&amp;")"</f>
        <v>#REF!</v>
      </c>
      <c r="G534" s="1393"/>
      <c r="H534" s="1393"/>
      <c r="I534" s="1393"/>
      <c r="J534" s="1393"/>
      <c r="K534" s="50" t="s">
        <v>4</v>
      </c>
      <c r="N534" s="80" t="e">
        <f>0.1*(N181+N320+N445+N524+N529)</f>
        <v>#REF!</v>
      </c>
      <c r="O534" s="2" t="e">
        <f>+N534/#REF!-1</f>
        <v>#REF!</v>
      </c>
    </row>
    <row r="537" spans="1:15" s="2" customFormat="1" x14ac:dyDescent="0.25">
      <c r="A537" s="59"/>
      <c r="B537" s="5" t="s">
        <v>139</v>
      </c>
      <c r="C537" s="6" t="s">
        <v>140</v>
      </c>
      <c r="D537" s="6"/>
      <c r="E537" s="6"/>
      <c r="F537" s="6"/>
      <c r="G537" s="7" t="s">
        <v>151</v>
      </c>
      <c r="H537" s="6"/>
      <c r="I537" s="6"/>
      <c r="J537" s="6"/>
      <c r="K537" s="18"/>
      <c r="L537" s="6"/>
      <c r="M537" s="6"/>
      <c r="N537" s="76" t="e">
        <f>+N565</f>
        <v>#REF!</v>
      </c>
      <c r="O537" s="2" t="e">
        <f>+N537/#REF!-1</f>
        <v>#REF!</v>
      </c>
    </row>
    <row r="539" spans="1:15" s="2" customFormat="1" x14ac:dyDescent="0.25">
      <c r="A539" s="59"/>
      <c r="B539" s="4" t="s">
        <v>141</v>
      </c>
      <c r="C539" s="2" t="s">
        <v>142</v>
      </c>
      <c r="F539" s="1393" t="e">
        <f>+L543&amp;" . "&amp;"("&amp;ROUND(N181,4)&amp;" + "&amp;ROUND(N320,4)&amp;" + "&amp;ROUND(N445,4)&amp;" + "&amp;ROUND(N524,4)&amp;" + "&amp;ROUND(N529,4)&amp;" + "&amp;ROUND(N534,4)&amp;")"</f>
        <v>#REF!</v>
      </c>
      <c r="G539" s="1393"/>
      <c r="H539" s="1393"/>
      <c r="I539" s="1393"/>
      <c r="J539" s="1393"/>
      <c r="K539" s="1393"/>
      <c r="L539" s="4" t="s">
        <v>4</v>
      </c>
      <c r="N539" s="80" t="e">
        <f>+L543*(N181+N320+N445+N524+N529+N534)</f>
        <v>#REF!</v>
      </c>
      <c r="O539" s="2" t="e">
        <f>+N539/#REF!-1</f>
        <v>#REF!</v>
      </c>
    </row>
    <row r="541" spans="1:15" x14ac:dyDescent="0.25">
      <c r="B541" s="8" t="s">
        <v>5</v>
      </c>
    </row>
    <row r="543" spans="1:15" x14ac:dyDescent="0.25">
      <c r="B543" s="2" t="s">
        <v>143</v>
      </c>
      <c r="C543" s="8" t="s">
        <v>385</v>
      </c>
      <c r="L543" s="89">
        <f>+'Hoja Llave'!J26</f>
        <v>0</v>
      </c>
    </row>
    <row r="544" spans="1:15" x14ac:dyDescent="0.25">
      <c r="C544" s="8" t="s">
        <v>343</v>
      </c>
    </row>
    <row r="545" spans="1:15" x14ac:dyDescent="0.25">
      <c r="C545" s="8"/>
    </row>
    <row r="546" spans="1:15" s="2" customFormat="1" x14ac:dyDescent="0.25">
      <c r="A546" s="59"/>
      <c r="B546" s="2" t="s">
        <v>344</v>
      </c>
      <c r="C546" s="1390" t="s">
        <v>348</v>
      </c>
      <c r="D546" s="1390"/>
      <c r="E546" s="1390"/>
      <c r="F546" s="1390" t="str">
        <f>+K550&amp;" . "&amp;"("&amp;K554&amp;" . "&amp;"("&amp;"("&amp;"0,70"&amp;" . "&amp;"41"&amp;")"&amp;" + "&amp;"("&amp;"0,30"&amp;" . "&amp;"45"&amp;")"&amp;")"&amp;")"</f>
        <v>294 . (0,4207 . ((0,70 . 41) + (0,30 . 45)))</v>
      </c>
      <c r="G546" s="1390"/>
      <c r="H546" s="1390"/>
      <c r="I546" s="1390"/>
      <c r="J546" s="1390"/>
      <c r="K546" s="13" t="s">
        <v>4</v>
      </c>
      <c r="N546" s="80">
        <f>+(K550*(K554*((0.7*0.41)+(0.3*45))))/K552</f>
        <v>2.1970771933361014E-2</v>
      </c>
      <c r="O546" s="2" t="e">
        <f>+N546/#REF!-1</f>
        <v>#REF!</v>
      </c>
    </row>
    <row r="547" spans="1:15" s="2" customFormat="1" x14ac:dyDescent="0.25">
      <c r="A547" s="59"/>
      <c r="C547" s="1393" t="s">
        <v>333</v>
      </c>
      <c r="D547" s="1393"/>
      <c r="F547" s="1399">
        <f>+K552</f>
        <v>77614.756994982657</v>
      </c>
      <c r="G547" s="1399"/>
      <c r="H547" s="1399"/>
      <c r="I547" s="1399"/>
      <c r="J547" s="1399"/>
      <c r="K547" s="13"/>
      <c r="N547" s="13"/>
    </row>
    <row r="548" spans="1:15" x14ac:dyDescent="0.25">
      <c r="B548" s="8" t="s">
        <v>5</v>
      </c>
      <c r="C548" s="8"/>
    </row>
    <row r="549" spans="1:15" x14ac:dyDescent="0.25">
      <c r="C549" s="8"/>
    </row>
    <row r="550" spans="1:15" x14ac:dyDescent="0.25">
      <c r="B550" s="2" t="s">
        <v>345</v>
      </c>
      <c r="C550" s="8" t="s">
        <v>346</v>
      </c>
      <c r="K550" s="72">
        <f>+'Hoja Llave'!J59*N5</f>
        <v>294</v>
      </c>
    </row>
    <row r="551" spans="1:15" x14ac:dyDescent="0.25">
      <c r="C551" s="8"/>
    </row>
    <row r="552" spans="1:15" x14ac:dyDescent="0.25">
      <c r="B552" s="2" t="s">
        <v>333</v>
      </c>
      <c r="C552" s="8" t="s">
        <v>235</v>
      </c>
      <c r="K552" s="10">
        <f>+'Hoja Llave'!J33</f>
        <v>77614.756994982657</v>
      </c>
    </row>
    <row r="553" spans="1:15" x14ac:dyDescent="0.25">
      <c r="C553" s="8"/>
    </row>
    <row r="554" spans="1:15" x14ac:dyDescent="0.25">
      <c r="B554" s="2" t="s">
        <v>193</v>
      </c>
      <c r="C554" s="8" t="s">
        <v>194</v>
      </c>
      <c r="K554" s="10">
        <f>+'Hoja Llave'!J41</f>
        <v>0.42070000000000002</v>
      </c>
    </row>
    <row r="555" spans="1:15" x14ac:dyDescent="0.25">
      <c r="C555" s="8"/>
    </row>
    <row r="556" spans="1:15" x14ac:dyDescent="0.25">
      <c r="C556" s="8"/>
    </row>
    <row r="557" spans="1:15" s="2" customFormat="1" x14ac:dyDescent="0.25">
      <c r="A557" s="59"/>
      <c r="B557" s="2" t="s">
        <v>347</v>
      </c>
      <c r="C557" s="53" t="s">
        <v>349</v>
      </c>
      <c r="D557" s="53"/>
      <c r="E557" s="25"/>
      <c r="F557" s="1390" t="str">
        <f>+K559&amp;" . "&amp;"("&amp;K563&amp;" . "&amp;"("&amp;"("&amp;"0,15"&amp;" . "&amp;"41"&amp;")"&amp;" + "&amp;"("&amp;"0,45"&amp;" . "&amp;"45"&amp;")"&amp;" + "&amp;"("&amp;"0,40"&amp;" . "&amp;"50"&amp;")"&amp;")"&amp;")"</f>
        <v>294 . (0,5793 . ((0,15 . 41) + (0,45 . 45) + (0,40 . 50)))</v>
      </c>
      <c r="G557" s="1390"/>
      <c r="H557" s="1390"/>
      <c r="I557" s="1390"/>
      <c r="J557" s="1390"/>
      <c r="K557" s="13" t="s">
        <v>4</v>
      </c>
      <c r="N557" s="80">
        <f>+(K559*(K563*((0.15*0.41)+(0.45*45)+(0.4*50))))/K561</f>
        <v>5.9061203050916507E-2</v>
      </c>
      <c r="O557" s="2" t="e">
        <f>+N557/#REF!-1</f>
        <v>#REF!</v>
      </c>
    </row>
    <row r="558" spans="1:15" s="2" customFormat="1" x14ac:dyDescent="0.25">
      <c r="A558" s="59"/>
      <c r="C558" s="1402" t="s">
        <v>334</v>
      </c>
      <c r="D558" s="1402"/>
      <c r="E558" s="1402"/>
      <c r="F558" s="1399">
        <f>+K561</f>
        <v>116245.86900780138</v>
      </c>
      <c r="G558" s="1399"/>
      <c r="H558" s="1399"/>
      <c r="I558" s="1399"/>
      <c r="J558" s="1399"/>
      <c r="K558" s="13"/>
      <c r="N558" s="13"/>
    </row>
    <row r="559" spans="1:15" x14ac:dyDescent="0.25">
      <c r="B559" s="2" t="s">
        <v>345</v>
      </c>
      <c r="C559" s="8" t="s">
        <v>346</v>
      </c>
      <c r="K559" s="10">
        <f>+'Hoja Llave'!J59*N5</f>
        <v>294</v>
      </c>
    </row>
    <row r="560" spans="1:15" x14ac:dyDescent="0.25">
      <c r="C560" s="8"/>
    </row>
    <row r="561" spans="1:16" x14ac:dyDescent="0.25">
      <c r="B561" s="2" t="s">
        <v>234</v>
      </c>
      <c r="C561" s="8" t="s">
        <v>236</v>
      </c>
      <c r="K561" s="10">
        <f>+'Hoja Llave'!J34</f>
        <v>116245.86900780138</v>
      </c>
    </row>
    <row r="562" spans="1:16" x14ac:dyDescent="0.25">
      <c r="C562" s="8"/>
    </row>
    <row r="563" spans="1:16" x14ac:dyDescent="0.25">
      <c r="B563" s="2" t="s">
        <v>203</v>
      </c>
      <c r="C563" s="8" t="s">
        <v>206</v>
      </c>
      <c r="K563" s="10">
        <f>+'Hoja Llave'!J42</f>
        <v>0.57930000000000004</v>
      </c>
    </row>
    <row r="564" spans="1:16" x14ac:dyDescent="0.25">
      <c r="C564" s="8"/>
    </row>
    <row r="565" spans="1:16" s="2" customFormat="1" x14ac:dyDescent="0.25">
      <c r="A565" s="59"/>
      <c r="B565" s="2" t="s">
        <v>350</v>
      </c>
      <c r="C565" s="1393" t="s">
        <v>351</v>
      </c>
      <c r="D565" s="1393"/>
      <c r="E565" s="1393"/>
      <c r="F565" s="2" t="s">
        <v>4</v>
      </c>
      <c r="G565" s="1393" t="e">
        <f>+ROUND(N539,4)&amp;" + "&amp;ROUND(N546,4)&amp;" + "&amp;ROUND(N557,4)</f>
        <v>#REF!</v>
      </c>
      <c r="H565" s="1393"/>
      <c r="I565" s="1393"/>
      <c r="J565" s="1393"/>
      <c r="K565" s="13" t="s">
        <v>4</v>
      </c>
      <c r="N565" s="80" t="e">
        <f>+N557+N546+N539</f>
        <v>#REF!</v>
      </c>
      <c r="O565" s="2" t="e">
        <f>+N565/#REF!-1</f>
        <v>#REF!</v>
      </c>
    </row>
    <row r="566" spans="1:16" x14ac:dyDescent="0.25">
      <c r="C566" s="8"/>
    </row>
    <row r="567" spans="1:16" x14ac:dyDescent="0.25">
      <c r="C567" s="8"/>
    </row>
    <row r="568" spans="1:16" s="2" customFormat="1" ht="15.6" x14ac:dyDescent="0.3">
      <c r="A568" s="59"/>
      <c r="B568" s="5" t="s">
        <v>144</v>
      </c>
      <c r="C568" s="6" t="s">
        <v>145</v>
      </c>
      <c r="D568" s="6"/>
      <c r="E568" s="6"/>
      <c r="F568" s="1397" t="e">
        <f>+ROUND(N524,4)&amp;" + "&amp;ROUND(N529,4)&amp;" + "&amp;ROUND(N534,4)&amp;" + "&amp;ROUND(N565,4)</f>
        <v>#REF!</v>
      </c>
      <c r="G568" s="1397"/>
      <c r="H568" s="1397"/>
      <c r="I568" s="1397"/>
      <c r="J568" s="7"/>
      <c r="K568" s="18" t="s">
        <v>4</v>
      </c>
      <c r="L568" s="6"/>
      <c r="M568" s="6"/>
      <c r="N568" s="90" t="e">
        <f>+N524+N529+N534+N565</f>
        <v>#REF!</v>
      </c>
      <c r="O568" s="2" t="e">
        <f>+N568/#REF!-1</f>
        <v>#REF!</v>
      </c>
    </row>
    <row r="571" spans="1:16" s="2" customFormat="1" x14ac:dyDescent="0.25">
      <c r="A571" s="59"/>
      <c r="B571" s="5" t="s">
        <v>150</v>
      </c>
      <c r="C571" s="6"/>
      <c r="D571" s="6"/>
      <c r="E571" s="6"/>
      <c r="F571" s="6"/>
      <c r="G571" s="7"/>
      <c r="H571" s="6"/>
      <c r="I571" s="6"/>
      <c r="J571" s="6"/>
      <c r="K571" s="18"/>
      <c r="L571" s="6"/>
      <c r="M571" s="6"/>
      <c r="N571" s="11"/>
    </row>
    <row r="573" spans="1:16" x14ac:dyDescent="0.25">
      <c r="B573" s="8" t="s">
        <v>146</v>
      </c>
    </row>
    <row r="575" spans="1:16" s="2" customFormat="1" ht="15.6" x14ac:dyDescent="0.3">
      <c r="A575" s="59"/>
      <c r="B575" s="2" t="s">
        <v>147</v>
      </c>
      <c r="C575" s="1393" t="s">
        <v>165</v>
      </c>
      <c r="D575" s="1393"/>
      <c r="E575" s="4" t="s">
        <v>4</v>
      </c>
      <c r="F575" s="1398" t="e">
        <f>+ROUND(N181,4)&amp;" + "&amp;ROUND(N320,4)&amp;" + "&amp;ROUND(N445,4)&amp;" + "&amp;ROUND(N568,4)</f>
        <v>#REF!</v>
      </c>
      <c r="G575" s="1398"/>
      <c r="H575" s="1398"/>
      <c r="I575" s="1398"/>
      <c r="J575" s="4" t="s">
        <v>4</v>
      </c>
      <c r="K575" s="13"/>
      <c r="N575" s="90" t="e">
        <f>+N181+N320+N445+N568</f>
        <v>#REF!</v>
      </c>
      <c r="O575" s="2" t="e">
        <f>+N575/#REF!-1</f>
        <v>#REF!</v>
      </c>
      <c r="P575" s="2" t="e">
        <f>+N575/#REF!-1</f>
        <v>#REF!</v>
      </c>
    </row>
    <row r="577" spans="1:18" x14ac:dyDescent="0.25">
      <c r="R577" s="8"/>
    </row>
    <row r="578" spans="1:18" s="2" customFormat="1" x14ac:dyDescent="0.25">
      <c r="A578" s="59"/>
      <c r="B578" s="5" t="s">
        <v>352</v>
      </c>
      <c r="C578" s="6"/>
      <c r="D578" s="6"/>
      <c r="E578" s="6"/>
      <c r="F578" s="6"/>
      <c r="G578" s="7" t="s">
        <v>353</v>
      </c>
      <c r="H578" s="6"/>
      <c r="I578" s="6"/>
      <c r="J578" s="6"/>
      <c r="K578" s="18"/>
      <c r="L578" s="6"/>
      <c r="M578" s="6"/>
      <c r="N578" s="11"/>
    </row>
    <row r="580" spans="1:18" s="2" customFormat="1" x14ac:dyDescent="0.25">
      <c r="A580" s="59"/>
      <c r="B580" s="1389" t="s">
        <v>354</v>
      </c>
      <c r="C580" s="1390" t="s">
        <v>355</v>
      </c>
      <c r="D580" s="1390"/>
      <c r="E580" s="1389"/>
      <c r="F580" s="1391">
        <f>+K585</f>
        <v>12082640184</v>
      </c>
      <c r="G580" s="1391"/>
      <c r="H580" s="1391"/>
      <c r="I580" s="1391"/>
      <c r="J580" s="1389" t="s">
        <v>4</v>
      </c>
      <c r="K580" s="13"/>
      <c r="N580" s="23" t="e">
        <f>+K585/(K587*K589)</f>
        <v>#REF!</v>
      </c>
      <c r="R580" s="69"/>
    </row>
    <row r="581" spans="1:18" s="2" customFormat="1" x14ac:dyDescent="0.25">
      <c r="A581" s="59"/>
      <c r="B581" s="1389"/>
      <c r="C581" s="1393" t="s">
        <v>361</v>
      </c>
      <c r="D581" s="1393"/>
      <c r="E581" s="1389"/>
      <c r="F581" s="1395" t="e">
        <f>+K587&amp;" . "&amp;ROUND(K589,4)</f>
        <v>#REF!</v>
      </c>
      <c r="G581" s="1395"/>
      <c r="H581" s="1395"/>
      <c r="I581" s="1395"/>
      <c r="J581" s="1389"/>
      <c r="K581" s="13"/>
      <c r="N581" s="13"/>
      <c r="P581" s="12"/>
      <c r="R581" s="69"/>
    </row>
    <row r="582" spans="1:18" x14ac:dyDescent="0.25">
      <c r="P582" s="67"/>
      <c r="Q582" s="2"/>
      <c r="R582" s="69"/>
    </row>
    <row r="583" spans="1:18" x14ac:dyDescent="0.25">
      <c r="B583" s="8" t="s">
        <v>5</v>
      </c>
      <c r="Q583" s="9"/>
    </row>
    <row r="584" spans="1:18" x14ac:dyDescent="0.25">
      <c r="Q584" s="9"/>
    </row>
    <row r="585" spans="1:18" x14ac:dyDescent="0.25">
      <c r="B585" s="2" t="s">
        <v>355</v>
      </c>
      <c r="C585" s="8" t="s">
        <v>357</v>
      </c>
      <c r="K585" s="111">
        <f>+'Hoja Llave'!J60</f>
        <v>12082640184</v>
      </c>
      <c r="Q585" s="64"/>
    </row>
    <row r="587" spans="1:18" x14ac:dyDescent="0.25">
      <c r="B587" s="2" t="s">
        <v>180</v>
      </c>
      <c r="C587" s="8" t="s">
        <v>181</v>
      </c>
      <c r="K587" s="10">
        <f>+'Hoja Llave'!J27</f>
        <v>6848483</v>
      </c>
    </row>
    <row r="589" spans="1:18" x14ac:dyDescent="0.25">
      <c r="B589" s="2" t="s">
        <v>356</v>
      </c>
      <c r="C589" s="8" t="s">
        <v>358</v>
      </c>
      <c r="K589" s="10" t="e">
        <f>+#REF!</f>
        <v>#REF!</v>
      </c>
    </row>
    <row r="592" spans="1:18" s="2" customFormat="1" x14ac:dyDescent="0.25">
      <c r="A592" s="59"/>
      <c r="B592" s="5" t="s">
        <v>148</v>
      </c>
      <c r="C592" s="6"/>
      <c r="D592" s="6"/>
      <c r="E592" s="6"/>
      <c r="F592" s="6"/>
      <c r="G592" s="7" t="s">
        <v>149</v>
      </c>
      <c r="H592" s="6"/>
      <c r="I592" s="6"/>
      <c r="J592" s="6"/>
      <c r="K592" s="18"/>
      <c r="L592" s="6"/>
      <c r="M592" s="6"/>
      <c r="N592" s="11"/>
    </row>
    <row r="593" spans="1:15" s="2" customFormat="1" x14ac:dyDescent="0.25">
      <c r="A593" s="59"/>
      <c r="G593" s="4"/>
      <c r="K593" s="13"/>
      <c r="N593" s="13"/>
    </row>
    <row r="594" spans="1:15" s="2" customFormat="1" x14ac:dyDescent="0.25">
      <c r="A594" s="59"/>
      <c r="G594" s="4"/>
      <c r="K594" s="13"/>
      <c r="N594" s="13"/>
    </row>
    <row r="595" spans="1:15" s="2" customFormat="1" ht="17.399999999999999" x14ac:dyDescent="0.3">
      <c r="A595" s="59"/>
      <c r="B595" s="2" t="s">
        <v>154</v>
      </c>
      <c r="C595" s="1390" t="s">
        <v>398</v>
      </c>
      <c r="D595" s="1390"/>
      <c r="E595" s="1389" t="s">
        <v>4</v>
      </c>
      <c r="F595" s="1392" t="e">
        <f>+N575</f>
        <v>#REF!</v>
      </c>
      <c r="G595" s="1392"/>
      <c r="H595" s="1392"/>
      <c r="I595" s="1392"/>
      <c r="J595" s="1389" t="s">
        <v>4</v>
      </c>
      <c r="K595" s="13" t="e">
        <f>+F595/F596</f>
        <v>#REF!</v>
      </c>
      <c r="N595" s="93" t="e">
        <f>+F595/F596</f>
        <v>#REF!</v>
      </c>
      <c r="O595" s="2" t="e">
        <f>+N595/#REF!-1</f>
        <v>#REF!</v>
      </c>
    </row>
    <row r="596" spans="1:15" s="2" customFormat="1" x14ac:dyDescent="0.25">
      <c r="A596" s="59"/>
      <c r="C596" s="1393" t="s">
        <v>353</v>
      </c>
      <c r="D596" s="1393"/>
      <c r="E596" s="1389"/>
      <c r="F596" s="1394" t="e">
        <f>+N580</f>
        <v>#REF!</v>
      </c>
      <c r="G596" s="1394"/>
      <c r="H596" s="1394"/>
      <c r="I596" s="1394"/>
      <c r="J596" s="1389"/>
      <c r="K596" s="13"/>
      <c r="N596" s="13"/>
    </row>
    <row r="598" spans="1:15" x14ac:dyDescent="0.25">
      <c r="B598" s="25"/>
      <c r="C598" s="26"/>
      <c r="D598" s="26"/>
      <c r="E598" s="26"/>
      <c r="F598" s="26"/>
      <c r="G598" s="22"/>
      <c r="H598" s="26"/>
      <c r="I598" s="26"/>
      <c r="J598" s="26"/>
      <c r="K598" s="27"/>
      <c r="L598" s="26"/>
      <c r="M598" s="26"/>
      <c r="N598" s="27"/>
    </row>
    <row r="600" spans="1:15" x14ac:dyDescent="0.25">
      <c r="F600" s="8"/>
      <c r="K600" s="64"/>
    </row>
    <row r="601" spans="1:15" x14ac:dyDescent="0.25">
      <c r="K601" s="65" t="e">
        <f>+K595/#REF!-1</f>
        <v>#REF!</v>
      </c>
    </row>
  </sheetData>
  <mergeCells count="192">
    <mergeCell ref="C595:D595"/>
    <mergeCell ref="E595:E596"/>
    <mergeCell ref="F595:I595"/>
    <mergeCell ref="J595:J596"/>
    <mergeCell ref="C596:D596"/>
    <mergeCell ref="F596:I596"/>
    <mergeCell ref="F529:J529"/>
    <mergeCell ref="B580:B581"/>
    <mergeCell ref="C580:D580"/>
    <mergeCell ref="E580:E581"/>
    <mergeCell ref="F580:I580"/>
    <mergeCell ref="C547:D547"/>
    <mergeCell ref="F547:J547"/>
    <mergeCell ref="F557:J557"/>
    <mergeCell ref="C558:E558"/>
    <mergeCell ref="F558:J558"/>
    <mergeCell ref="C565:E565"/>
    <mergeCell ref="F568:I568"/>
    <mergeCell ref="C575:D575"/>
    <mergeCell ref="F575:I575"/>
    <mergeCell ref="G565:J565"/>
    <mergeCell ref="J580:J581"/>
    <mergeCell ref="C581:D581"/>
    <mergeCell ref="F581:I581"/>
    <mergeCell ref="F534:J534"/>
    <mergeCell ref="F539:K539"/>
    <mergeCell ref="C546:E546"/>
    <mergeCell ref="F546:J546"/>
    <mergeCell ref="C428:D428"/>
    <mergeCell ref="F428:I428"/>
    <mergeCell ref="C445:D445"/>
    <mergeCell ref="F445:I445"/>
    <mergeCell ref="C458:F458"/>
    <mergeCell ref="G458:K458"/>
    <mergeCell ref="C477:F477"/>
    <mergeCell ref="G477:K477"/>
    <mergeCell ref="C496:F496"/>
    <mergeCell ref="H496:J496"/>
    <mergeCell ref="C502:D502"/>
    <mergeCell ref="F502:I502"/>
    <mergeCell ref="C509:D509"/>
    <mergeCell ref="E509:E510"/>
    <mergeCell ref="F509:I509"/>
    <mergeCell ref="J509:J510"/>
    <mergeCell ref="C510:D510"/>
    <mergeCell ref="F510:I510"/>
    <mergeCell ref="C524:D524"/>
    <mergeCell ref="F524:I524"/>
    <mergeCell ref="C412:E412"/>
    <mergeCell ref="G412:J412"/>
    <mergeCell ref="C419:D419"/>
    <mergeCell ref="F419:I419"/>
    <mergeCell ref="B424:N425"/>
    <mergeCell ref="B427:B428"/>
    <mergeCell ref="C427:D427"/>
    <mergeCell ref="E427:E428"/>
    <mergeCell ref="F427:I427"/>
    <mergeCell ref="J427:J428"/>
    <mergeCell ref="B379:B380"/>
    <mergeCell ref="C379:D379"/>
    <mergeCell ref="E379:E380"/>
    <mergeCell ref="F379:I379"/>
    <mergeCell ref="J379:J380"/>
    <mergeCell ref="C380:D380"/>
    <mergeCell ref="F380:I380"/>
    <mergeCell ref="B395:B396"/>
    <mergeCell ref="C395:D395"/>
    <mergeCell ref="E395:E396"/>
    <mergeCell ref="F395:I395"/>
    <mergeCell ref="J395:J396"/>
    <mergeCell ref="C396:D396"/>
    <mergeCell ref="F396:I396"/>
    <mergeCell ref="J310:J311"/>
    <mergeCell ref="C311:D311"/>
    <mergeCell ref="F311:I311"/>
    <mergeCell ref="C320:D320"/>
    <mergeCell ref="F320:J320"/>
    <mergeCell ref="B328:B329"/>
    <mergeCell ref="C328:D328"/>
    <mergeCell ref="E328:E329"/>
    <mergeCell ref="F328:I328"/>
    <mergeCell ref="J328:J329"/>
    <mergeCell ref="C329:D329"/>
    <mergeCell ref="F329:I329"/>
    <mergeCell ref="C300:E300"/>
    <mergeCell ref="G300:I300"/>
    <mergeCell ref="C305:D305"/>
    <mergeCell ref="F305:I305"/>
    <mergeCell ref="B310:B311"/>
    <mergeCell ref="C310:D310"/>
    <mergeCell ref="E310:E311"/>
    <mergeCell ref="F310:I310"/>
    <mergeCell ref="C374:D374"/>
    <mergeCell ref="F374:I374"/>
    <mergeCell ref="C341:D341"/>
    <mergeCell ref="F341:I341"/>
    <mergeCell ref="C350:D350"/>
    <mergeCell ref="F350:I350"/>
    <mergeCell ref="C351:D351"/>
    <mergeCell ref="F351:I351"/>
    <mergeCell ref="C364:D364"/>
    <mergeCell ref="F364:I364"/>
    <mergeCell ref="C272:E272"/>
    <mergeCell ref="G272:J272"/>
    <mergeCell ref="B280:B281"/>
    <mergeCell ref="C280:J281"/>
    <mergeCell ref="K280:K281"/>
    <mergeCell ref="C287:F287"/>
    <mergeCell ref="G287:J287"/>
    <mergeCell ref="B297:B298"/>
    <mergeCell ref="C297:J298"/>
    <mergeCell ref="E135:E136"/>
    <mergeCell ref="F135:I135"/>
    <mergeCell ref="J135:J136"/>
    <mergeCell ref="K135:K136"/>
    <mergeCell ref="C136:D136"/>
    <mergeCell ref="F136:I136"/>
    <mergeCell ref="B283:B284"/>
    <mergeCell ref="C283:J284"/>
    <mergeCell ref="J164:J165"/>
    <mergeCell ref="C165:D165"/>
    <mergeCell ref="F165:I165"/>
    <mergeCell ref="F181:J181"/>
    <mergeCell ref="B213:B214"/>
    <mergeCell ref="C213:D213"/>
    <mergeCell ref="E213:E214"/>
    <mergeCell ref="F213:I213"/>
    <mergeCell ref="J213:J214"/>
    <mergeCell ref="C214:D214"/>
    <mergeCell ref="F214:I214"/>
    <mergeCell ref="F227:I227"/>
    <mergeCell ref="C241:E241"/>
    <mergeCell ref="G241:J241"/>
    <mergeCell ref="C249:J249"/>
    <mergeCell ref="C267:N268"/>
    <mergeCell ref="C153:D153"/>
    <mergeCell ref="F153:I153"/>
    <mergeCell ref="C160:D160"/>
    <mergeCell ref="F160:I160"/>
    <mergeCell ref="B164:B165"/>
    <mergeCell ref="C164:D164"/>
    <mergeCell ref="E164:E165"/>
    <mergeCell ref="F164:I164"/>
    <mergeCell ref="C76:E76"/>
    <mergeCell ref="G76:I76"/>
    <mergeCell ref="C77:E77"/>
    <mergeCell ref="G77:I77"/>
    <mergeCell ref="C86:E86"/>
    <mergeCell ref="C91:E91"/>
    <mergeCell ref="G91:I91"/>
    <mergeCell ref="C96:D96"/>
    <mergeCell ref="F96:I96"/>
    <mergeCell ref="C98:D98"/>
    <mergeCell ref="B103:B104"/>
    <mergeCell ref="C103:N104"/>
    <mergeCell ref="F110:I110"/>
    <mergeCell ref="B130:N131"/>
    <mergeCell ref="B135:B136"/>
    <mergeCell ref="C135:D135"/>
    <mergeCell ref="C51:E51"/>
    <mergeCell ref="C52:E52"/>
    <mergeCell ref="B59:B60"/>
    <mergeCell ref="C59:D59"/>
    <mergeCell ref="E59:E60"/>
    <mergeCell ref="F59:I59"/>
    <mergeCell ref="J59:J60"/>
    <mergeCell ref="C60:D60"/>
    <mergeCell ref="F60:I60"/>
    <mergeCell ref="B5:B6"/>
    <mergeCell ref="C5:D5"/>
    <mergeCell ref="E5:E6"/>
    <mergeCell ref="F5:I5"/>
    <mergeCell ref="J5:J6"/>
    <mergeCell ref="K5:K6"/>
    <mergeCell ref="C6:D6"/>
    <mergeCell ref="F6:I6"/>
    <mergeCell ref="B69:B70"/>
    <mergeCell ref="K69:K70"/>
    <mergeCell ref="C70:H70"/>
    <mergeCell ref="B14:B15"/>
    <mergeCell ref="K14:K15"/>
    <mergeCell ref="C15:H15"/>
    <mergeCell ref="C25:E25"/>
    <mergeCell ref="G25:I25"/>
    <mergeCell ref="C26:E26"/>
    <mergeCell ref="G26:I26"/>
    <mergeCell ref="C34:E34"/>
    <mergeCell ref="C35:G35"/>
    <mergeCell ref="C44:E44"/>
    <mergeCell ref="G44:H44"/>
    <mergeCell ref="C48:E48"/>
    <mergeCell ref="C49:E49"/>
  </mergeCells>
  <pageMargins left="0.62992125984251968" right="0.51181102362204722" top="1.1023622047244095" bottom="0.51181102362204722" header="0.35433070866141736" footer="0"/>
  <pageSetup scale="70" fitToHeight="100" orientation="landscape" r:id="rId1"/>
  <headerFooter alignWithMargins="0">
    <oddHeader>&amp;L&amp;G&amp;R&amp;8Cdor.Lucas S. Gonzalez</oddHeader>
    <oddFooter>&amp;CPAGINA &amp;P / &amp;N</oddFooter>
  </headerFooter>
  <rowBreaks count="8" manualBreakCount="8">
    <brk id="104" max="16383" man="1"/>
    <brk id="155" max="16383" man="1"/>
    <brk id="208" max="16383" man="1"/>
    <brk id="302" max="16383" man="1"/>
    <brk id="356" min="1" max="13" man="1"/>
    <brk id="412" max="16383" man="1"/>
    <brk id="504" max="16383" man="1"/>
    <brk id="561" min="1" max="13" man="1"/>
  </rowBreaks>
  <legacyDrawingHF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21"/>
  <sheetViews>
    <sheetView workbookViewId="0"/>
  </sheetViews>
  <sheetFormatPr baseColWidth="10" defaultColWidth="11.44140625" defaultRowHeight="13.8" x14ac:dyDescent="0.3"/>
  <cols>
    <col min="1" max="1" width="11.44140625" style="225"/>
    <col min="2" max="2" width="10.6640625" style="225" customWidth="1"/>
    <col min="3" max="3" width="37" style="225" bestFit="1" customWidth="1"/>
    <col min="4" max="4" width="13.44140625" style="225" bestFit="1" customWidth="1"/>
    <col min="5" max="5" width="11.44140625" style="225"/>
    <col min="6" max="6" width="14.5546875" style="225" customWidth="1"/>
    <col min="7" max="16384" width="11.44140625" style="225"/>
  </cols>
  <sheetData>
    <row r="2" spans="2:7" ht="14.4" x14ac:dyDescent="0.3">
      <c r="C2" s="295" t="s">
        <v>657</v>
      </c>
    </row>
    <row r="4" spans="2:7" x14ac:dyDescent="0.3">
      <c r="D4" s="225" t="s">
        <v>655</v>
      </c>
      <c r="E4" s="381">
        <v>42736</v>
      </c>
      <c r="F4" s="381">
        <v>43009</v>
      </c>
    </row>
    <row r="5" spans="2:7" x14ac:dyDescent="0.3">
      <c r="B5" s="225" t="s">
        <v>460</v>
      </c>
      <c r="C5" s="225" t="s">
        <v>498</v>
      </c>
    </row>
    <row r="6" spans="2:7" x14ac:dyDescent="0.3">
      <c r="D6" s="225" t="s">
        <v>656</v>
      </c>
    </row>
    <row r="7" spans="2:7" x14ac:dyDescent="0.3">
      <c r="D7" s="225">
        <v>151180</v>
      </c>
      <c r="F7" s="242">
        <v>99418.16</v>
      </c>
    </row>
    <row r="8" spans="2:7" x14ac:dyDescent="0.3">
      <c r="B8" s="225" t="s">
        <v>460</v>
      </c>
      <c r="C8" s="225" t="s">
        <v>490</v>
      </c>
    </row>
    <row r="11" spans="2:7" x14ac:dyDescent="0.3">
      <c r="B11" s="225" t="s">
        <v>460</v>
      </c>
      <c r="C11" s="225" t="s">
        <v>520</v>
      </c>
    </row>
    <row r="13" spans="2:7" x14ac:dyDescent="0.3">
      <c r="D13" s="225">
        <v>2720</v>
      </c>
      <c r="F13" s="242">
        <v>199126.59</v>
      </c>
    </row>
    <row r="14" spans="2:7" x14ac:dyDescent="0.3">
      <c r="B14" s="225" t="s">
        <v>460</v>
      </c>
      <c r="C14" s="225" t="s">
        <v>491</v>
      </c>
    </row>
    <row r="15" spans="2:7" x14ac:dyDescent="0.3">
      <c r="D15" s="225" t="s">
        <v>599</v>
      </c>
      <c r="E15" s="237">
        <v>3358.04</v>
      </c>
    </row>
    <row r="16" spans="2:7" x14ac:dyDescent="0.3">
      <c r="D16" s="225" t="str">
        <f>+[4]Facturas!$AO$72</f>
        <v>52/018904</v>
      </c>
      <c r="F16" s="242">
        <f>+[4]Facturas!$AP$72</f>
        <v>4515.46</v>
      </c>
      <c r="G16" s="238">
        <f>+F16/E15-1</f>
        <v>0.34467129635144311</v>
      </c>
    </row>
    <row r="17" spans="2:7" x14ac:dyDescent="0.3">
      <c r="F17" s="242"/>
      <c r="G17" s="238"/>
    </row>
    <row r="18" spans="2:7" x14ac:dyDescent="0.3">
      <c r="B18" s="225" t="s">
        <v>654</v>
      </c>
      <c r="C18" s="225" t="s">
        <v>652</v>
      </c>
    </row>
    <row r="21" spans="2:7" x14ac:dyDescent="0.3">
      <c r="B21" s="225" t="s">
        <v>654</v>
      </c>
      <c r="C21" s="225" t="s">
        <v>653</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44"/>
  <sheetViews>
    <sheetView workbookViewId="0">
      <selection activeCell="Z21" sqref="Z21"/>
    </sheetView>
  </sheetViews>
  <sheetFormatPr baseColWidth="10" defaultRowHeight="13.2" x14ac:dyDescent="0.25"/>
  <cols>
    <col min="1" max="7" width="3.44140625" style="309" customWidth="1"/>
    <col min="8" max="8" width="3.109375" style="309" customWidth="1"/>
    <col min="9" max="15" width="3.44140625" style="309" customWidth="1"/>
    <col min="16" max="16" width="3.109375" style="309" customWidth="1"/>
    <col min="17" max="23" width="3.44140625" style="309" customWidth="1"/>
    <col min="26" max="26" width="5.88671875" customWidth="1"/>
  </cols>
  <sheetData>
    <row r="1" spans="1:26" ht="21" x14ac:dyDescent="0.25">
      <c r="A1" s="1590" t="s">
        <v>621</v>
      </c>
      <c r="B1" s="1590"/>
      <c r="C1" s="1590"/>
      <c r="D1" s="1590"/>
      <c r="E1" s="1590"/>
      <c r="F1" s="1590"/>
      <c r="G1" s="1590"/>
      <c r="H1" s="1590"/>
      <c r="I1" s="1590"/>
      <c r="J1" s="1590"/>
      <c r="K1" s="1590"/>
      <c r="L1" s="1590"/>
      <c r="M1" s="1590"/>
      <c r="N1" s="1590"/>
      <c r="O1" s="1590"/>
      <c r="P1" s="308"/>
      <c r="Q1" s="308"/>
      <c r="R1" s="308"/>
      <c r="S1" s="308"/>
      <c r="T1" s="308"/>
      <c r="U1" s="308"/>
      <c r="V1" s="308"/>
      <c r="W1" s="308"/>
    </row>
    <row r="2" spans="1:26" x14ac:dyDescent="0.25">
      <c r="A2" s="1591"/>
      <c r="B2" s="1591"/>
      <c r="C2" s="1591"/>
      <c r="D2" s="1591"/>
      <c r="E2" s="1591"/>
      <c r="F2" s="1591"/>
      <c r="G2" s="1591"/>
      <c r="H2" s="1591"/>
      <c r="I2" s="1591"/>
      <c r="J2" s="1591"/>
      <c r="K2" s="1591"/>
      <c r="Q2" s="1592"/>
      <c r="R2" s="1592"/>
      <c r="S2" s="1592"/>
      <c r="T2" s="1592"/>
      <c r="U2" s="1592"/>
      <c r="V2" s="1592"/>
      <c r="W2" s="1592"/>
    </row>
    <row r="3" spans="1:26" x14ac:dyDescent="0.25">
      <c r="A3" s="1593" t="s">
        <v>622</v>
      </c>
      <c r="B3" s="1593"/>
      <c r="C3" s="1593"/>
      <c r="D3" s="310"/>
      <c r="E3" s="1593" t="s">
        <v>623</v>
      </c>
      <c r="F3" s="1593"/>
      <c r="G3" s="1593"/>
      <c r="H3" s="310"/>
      <c r="I3" s="1594" t="s">
        <v>624</v>
      </c>
      <c r="J3" s="1594"/>
      <c r="K3" s="1594"/>
      <c r="L3" s="311"/>
      <c r="M3" s="311"/>
      <c r="N3" s="311"/>
      <c r="O3" s="311"/>
      <c r="P3" s="311"/>
    </row>
    <row r="4" spans="1:26" x14ac:dyDescent="0.25">
      <c r="A4" s="1595">
        <v>2017</v>
      </c>
      <c r="B4" s="1595"/>
      <c r="C4" s="1595"/>
      <c r="D4" s="310"/>
      <c r="E4" s="1595">
        <v>1</v>
      </c>
      <c r="F4" s="1595"/>
      <c r="G4" s="1595"/>
      <c r="H4" s="310"/>
      <c r="I4" s="1595">
        <v>2</v>
      </c>
      <c r="J4" s="1595"/>
      <c r="K4" s="1595"/>
      <c r="L4" s="312" t="s">
        <v>625</v>
      </c>
      <c r="M4" s="311"/>
      <c r="N4" s="311"/>
      <c r="O4" s="311"/>
      <c r="P4" s="311"/>
    </row>
    <row r="5" spans="1:26" ht="13.8" thickBot="1" x14ac:dyDescent="0.3"/>
    <row r="6" spans="1:26" ht="36" thickBot="1" x14ac:dyDescent="0.6">
      <c r="A6" s="1596">
        <v>2017</v>
      </c>
      <c r="B6" s="1597"/>
      <c r="C6" s="1597"/>
      <c r="D6" s="1597"/>
      <c r="E6" s="1597"/>
      <c r="F6" s="1597"/>
      <c r="G6" s="1597"/>
      <c r="H6" s="1597"/>
      <c r="I6" s="1597"/>
      <c r="J6" s="1597"/>
      <c r="K6" s="1597"/>
      <c r="L6" s="1597"/>
      <c r="M6" s="1597"/>
      <c r="N6" s="1597"/>
      <c r="O6" s="1597"/>
      <c r="P6" s="1597"/>
      <c r="Q6" s="1597"/>
      <c r="R6" s="1597"/>
      <c r="S6" s="1597"/>
      <c r="T6" s="1597"/>
      <c r="U6" s="1597"/>
      <c r="V6" s="1597"/>
      <c r="W6" s="1598"/>
    </row>
    <row r="8" spans="1:26" ht="15" x14ac:dyDescent="0.25">
      <c r="A8" s="1599">
        <v>42736</v>
      </c>
      <c r="B8" s="1600"/>
      <c r="C8" s="1600"/>
      <c r="D8" s="1600"/>
      <c r="E8" s="1600"/>
      <c r="F8" s="1600"/>
      <c r="G8" s="1601"/>
      <c r="H8" s="313"/>
      <c r="I8" s="1599">
        <v>42767</v>
      </c>
      <c r="J8" s="1600"/>
      <c r="K8" s="1600"/>
      <c r="L8" s="1600"/>
      <c r="M8" s="1600"/>
      <c r="N8" s="1600"/>
      <c r="O8" s="1601"/>
      <c r="P8" s="314"/>
      <c r="Q8" s="1599">
        <v>42795</v>
      </c>
      <c r="R8" s="1600"/>
      <c r="S8" s="1600"/>
      <c r="T8" s="1600"/>
      <c r="U8" s="1600"/>
      <c r="V8" s="1600"/>
      <c r="W8" s="1601"/>
    </row>
    <row r="9" spans="1:26" ht="15" x14ac:dyDescent="0.25">
      <c r="A9" s="315" t="s">
        <v>335</v>
      </c>
      <c r="B9" s="315" t="s">
        <v>627</v>
      </c>
      <c r="C9" s="315" t="s">
        <v>628</v>
      </c>
      <c r="D9" s="315" t="s">
        <v>629</v>
      </c>
      <c r="E9" s="315" t="s">
        <v>630</v>
      </c>
      <c r="F9" s="325" t="s">
        <v>631</v>
      </c>
      <c r="G9" s="325" t="s">
        <v>104</v>
      </c>
      <c r="H9" s="313"/>
      <c r="I9" s="315" t="s">
        <v>335</v>
      </c>
      <c r="J9" s="316" t="s">
        <v>627</v>
      </c>
      <c r="K9" s="316" t="s">
        <v>628</v>
      </c>
      <c r="L9" s="316" t="s">
        <v>629</v>
      </c>
      <c r="M9" s="316" t="s">
        <v>630</v>
      </c>
      <c r="N9" s="325" t="s">
        <v>631</v>
      </c>
      <c r="O9" s="325" t="s">
        <v>104</v>
      </c>
      <c r="P9" s="314"/>
      <c r="Q9" s="315" t="s">
        <v>335</v>
      </c>
      <c r="R9" s="316" t="s">
        <v>627</v>
      </c>
      <c r="S9" s="316" t="s">
        <v>628</v>
      </c>
      <c r="T9" s="316" t="s">
        <v>629</v>
      </c>
      <c r="U9" s="316" t="s">
        <v>630</v>
      </c>
      <c r="V9" s="325" t="s">
        <v>631</v>
      </c>
      <c r="W9" s="325" t="s">
        <v>104</v>
      </c>
    </row>
    <row r="10" spans="1:26" ht="15" x14ac:dyDescent="0.25">
      <c r="A10" s="317" t="s">
        <v>632</v>
      </c>
      <c r="B10" s="317" t="s">
        <v>632</v>
      </c>
      <c r="C10" s="317" t="s">
        <v>632</v>
      </c>
      <c r="D10" s="317" t="s">
        <v>632</v>
      </c>
      <c r="E10" s="317" t="s">
        <v>632</v>
      </c>
      <c r="F10" s="326" t="s">
        <v>632</v>
      </c>
      <c r="G10" s="327">
        <v>42736</v>
      </c>
      <c r="H10" s="313"/>
      <c r="I10" s="317" t="s">
        <v>632</v>
      </c>
      <c r="J10" s="317" t="s">
        <v>632</v>
      </c>
      <c r="K10" s="317">
        <v>42767</v>
      </c>
      <c r="L10" s="317">
        <v>42768</v>
      </c>
      <c r="M10" s="317">
        <v>42769</v>
      </c>
      <c r="N10" s="326">
        <v>42770</v>
      </c>
      <c r="O10" s="326">
        <v>42771</v>
      </c>
      <c r="P10" s="314"/>
      <c r="Q10" s="317" t="s">
        <v>632</v>
      </c>
      <c r="R10" s="317" t="s">
        <v>632</v>
      </c>
      <c r="S10" s="317">
        <v>42795</v>
      </c>
      <c r="T10" s="317">
        <v>42796</v>
      </c>
      <c r="U10" s="317">
        <v>42797</v>
      </c>
      <c r="V10" s="326">
        <v>42798</v>
      </c>
      <c r="W10" s="326">
        <v>42799</v>
      </c>
      <c r="Z10">
        <f t="shared" ref="Z10:Z15" si="0">COUNT(A10:E10,I10:M10,Q10:U10)</f>
        <v>6</v>
      </c>
    </row>
    <row r="11" spans="1:26" ht="15" x14ac:dyDescent="0.25">
      <c r="A11" s="317">
        <v>42737</v>
      </c>
      <c r="B11" s="317">
        <v>42738</v>
      </c>
      <c r="C11" s="317">
        <v>42739</v>
      </c>
      <c r="D11" s="317">
        <v>42740</v>
      </c>
      <c r="E11" s="317">
        <v>42741</v>
      </c>
      <c r="F11" s="326">
        <v>42742</v>
      </c>
      <c r="G11" s="326">
        <v>42743</v>
      </c>
      <c r="H11" s="313"/>
      <c r="I11" s="317">
        <v>42772</v>
      </c>
      <c r="J11" s="317">
        <v>42773</v>
      </c>
      <c r="K11" s="317">
        <v>42774</v>
      </c>
      <c r="L11" s="317">
        <v>42775</v>
      </c>
      <c r="M11" s="317">
        <v>42776</v>
      </c>
      <c r="N11" s="326">
        <v>42777</v>
      </c>
      <c r="O11" s="326">
        <v>42778</v>
      </c>
      <c r="P11" s="314"/>
      <c r="Q11" s="317">
        <v>42800</v>
      </c>
      <c r="R11" s="317">
        <v>42801</v>
      </c>
      <c r="S11" s="317">
        <v>42802</v>
      </c>
      <c r="T11" s="317">
        <v>42803</v>
      </c>
      <c r="U11" s="317">
        <v>42804</v>
      </c>
      <c r="V11" s="326">
        <v>42805</v>
      </c>
      <c r="W11" s="326">
        <v>42806</v>
      </c>
      <c r="Z11">
        <f t="shared" si="0"/>
        <v>15</v>
      </c>
    </row>
    <row r="12" spans="1:26" ht="15" x14ac:dyDescent="0.25">
      <c r="A12" s="317">
        <v>42744</v>
      </c>
      <c r="B12" s="317">
        <v>42745</v>
      </c>
      <c r="C12" s="317">
        <v>42746</v>
      </c>
      <c r="D12" s="317">
        <v>42747</v>
      </c>
      <c r="E12" s="317">
        <v>42748</v>
      </c>
      <c r="F12" s="326">
        <v>42749</v>
      </c>
      <c r="G12" s="326">
        <v>42750</v>
      </c>
      <c r="H12" s="313"/>
      <c r="I12" s="317">
        <v>42779</v>
      </c>
      <c r="J12" s="317">
        <v>42780</v>
      </c>
      <c r="K12" s="317">
        <v>42781</v>
      </c>
      <c r="L12" s="317">
        <v>42782</v>
      </c>
      <c r="M12" s="317">
        <v>42783</v>
      </c>
      <c r="N12" s="326">
        <v>42784</v>
      </c>
      <c r="O12" s="326">
        <v>42785</v>
      </c>
      <c r="P12" s="314"/>
      <c r="Q12" s="317">
        <v>42807</v>
      </c>
      <c r="R12" s="317">
        <v>42808</v>
      </c>
      <c r="S12" s="317">
        <v>42809</v>
      </c>
      <c r="T12" s="317">
        <v>42810</v>
      </c>
      <c r="U12" s="317">
        <v>42811</v>
      </c>
      <c r="V12" s="326">
        <v>42812</v>
      </c>
      <c r="W12" s="326">
        <v>42813</v>
      </c>
      <c r="Z12">
        <f t="shared" si="0"/>
        <v>15</v>
      </c>
    </row>
    <row r="13" spans="1:26" ht="15" x14ac:dyDescent="0.25">
      <c r="A13" s="317">
        <v>42751</v>
      </c>
      <c r="B13" s="317">
        <v>42752</v>
      </c>
      <c r="C13" s="317">
        <v>42753</v>
      </c>
      <c r="D13" s="317">
        <v>42754</v>
      </c>
      <c r="E13" s="317">
        <v>42755</v>
      </c>
      <c r="F13" s="326">
        <v>42756</v>
      </c>
      <c r="G13" s="326">
        <v>42757</v>
      </c>
      <c r="H13" s="313"/>
      <c r="I13" s="317">
        <v>42786</v>
      </c>
      <c r="J13" s="317">
        <v>42787</v>
      </c>
      <c r="K13" s="317">
        <v>42788</v>
      </c>
      <c r="L13" s="317">
        <v>42789</v>
      </c>
      <c r="M13" s="317">
        <v>42790</v>
      </c>
      <c r="N13" s="326">
        <v>42791</v>
      </c>
      <c r="O13" s="326">
        <v>42792</v>
      </c>
      <c r="P13" s="314"/>
      <c r="Q13" s="317">
        <v>42814</v>
      </c>
      <c r="R13" s="317">
        <v>42815</v>
      </c>
      <c r="S13" s="317">
        <v>42816</v>
      </c>
      <c r="T13" s="317">
        <v>42817</v>
      </c>
      <c r="U13" s="327">
        <v>42818</v>
      </c>
      <c r="V13" s="326">
        <v>42819</v>
      </c>
      <c r="W13" s="326">
        <v>42820</v>
      </c>
      <c r="Z13">
        <f t="shared" si="0"/>
        <v>15</v>
      </c>
    </row>
    <row r="14" spans="1:26" ht="15" x14ac:dyDescent="0.25">
      <c r="A14" s="317">
        <v>42758</v>
      </c>
      <c r="B14" s="317">
        <v>42759</v>
      </c>
      <c r="C14" s="317">
        <v>42760</v>
      </c>
      <c r="D14" s="317">
        <v>42761</v>
      </c>
      <c r="E14" s="317">
        <v>42762</v>
      </c>
      <c r="F14" s="326">
        <v>42763</v>
      </c>
      <c r="G14" s="326">
        <v>42764</v>
      </c>
      <c r="H14" s="313"/>
      <c r="I14" s="327">
        <v>42793</v>
      </c>
      <c r="J14" s="327">
        <v>42794</v>
      </c>
      <c r="K14" s="317" t="s">
        <v>632</v>
      </c>
      <c r="L14" s="317" t="s">
        <v>632</v>
      </c>
      <c r="M14" s="317" t="s">
        <v>632</v>
      </c>
      <c r="N14" s="326" t="s">
        <v>632</v>
      </c>
      <c r="O14" s="326" t="s">
        <v>632</v>
      </c>
      <c r="P14" s="314"/>
      <c r="Q14" s="317">
        <v>42821</v>
      </c>
      <c r="R14" s="317">
        <v>42822</v>
      </c>
      <c r="S14" s="317">
        <v>42823</v>
      </c>
      <c r="T14" s="317">
        <v>42824</v>
      </c>
      <c r="U14" s="317">
        <v>42825</v>
      </c>
      <c r="V14" s="326" t="s">
        <v>632</v>
      </c>
      <c r="W14" s="326" t="s">
        <v>632</v>
      </c>
      <c r="Z14">
        <f t="shared" si="0"/>
        <v>12</v>
      </c>
    </row>
    <row r="15" spans="1:26" ht="15" x14ac:dyDescent="0.25">
      <c r="A15" s="317">
        <v>42765</v>
      </c>
      <c r="B15" s="317">
        <v>42766</v>
      </c>
      <c r="C15" s="317" t="s">
        <v>632</v>
      </c>
      <c r="D15" s="317" t="s">
        <v>632</v>
      </c>
      <c r="E15" s="317" t="s">
        <v>632</v>
      </c>
      <c r="F15" s="324" t="s">
        <v>632</v>
      </c>
      <c r="G15" s="324" t="s">
        <v>632</v>
      </c>
      <c r="H15" s="313"/>
      <c r="I15" s="317" t="s">
        <v>632</v>
      </c>
      <c r="J15" s="317" t="s">
        <v>632</v>
      </c>
      <c r="K15" s="317" t="s">
        <v>632</v>
      </c>
      <c r="L15" s="317" t="s">
        <v>632</v>
      </c>
      <c r="M15" s="317" t="s">
        <v>632</v>
      </c>
      <c r="N15" s="324" t="s">
        <v>632</v>
      </c>
      <c r="O15" s="324" t="s">
        <v>632</v>
      </c>
      <c r="P15" s="314"/>
      <c r="Q15" s="317" t="s">
        <v>632</v>
      </c>
      <c r="R15" s="317" t="s">
        <v>632</v>
      </c>
      <c r="S15" s="317" t="s">
        <v>632</v>
      </c>
      <c r="T15" s="317" t="s">
        <v>632</v>
      </c>
      <c r="U15" s="317" t="s">
        <v>632</v>
      </c>
      <c r="V15" s="324" t="s">
        <v>632</v>
      </c>
      <c r="W15" s="324" t="s">
        <v>632</v>
      </c>
      <c r="Z15">
        <f t="shared" si="0"/>
        <v>2</v>
      </c>
    </row>
    <row r="16" spans="1:26" ht="15" x14ac:dyDescent="0.25">
      <c r="A16" s="314"/>
      <c r="B16" s="314"/>
      <c r="C16" s="314"/>
      <c r="D16" s="314"/>
      <c r="E16" s="314"/>
      <c r="F16" s="314"/>
      <c r="G16" s="314"/>
      <c r="H16" s="313"/>
      <c r="I16" s="314"/>
      <c r="J16" s="314"/>
      <c r="K16" s="314"/>
      <c r="L16" s="314"/>
      <c r="M16" s="314"/>
      <c r="N16" s="314"/>
      <c r="O16" s="314"/>
      <c r="P16" s="314"/>
      <c r="Q16" s="314"/>
      <c r="R16" s="314"/>
      <c r="S16" s="314"/>
      <c r="T16" s="314"/>
      <c r="U16" s="314"/>
      <c r="V16" s="314"/>
      <c r="W16" s="314"/>
    </row>
    <row r="17" spans="1:26" ht="15" x14ac:dyDescent="0.25">
      <c r="A17" s="1599">
        <v>42826</v>
      </c>
      <c r="B17" s="1600"/>
      <c r="C17" s="1600"/>
      <c r="D17" s="1600"/>
      <c r="E17" s="1600"/>
      <c r="F17" s="1600"/>
      <c r="G17" s="1601"/>
      <c r="H17" s="313"/>
      <c r="I17" s="1599">
        <v>42856</v>
      </c>
      <c r="J17" s="1600"/>
      <c r="K17" s="1600"/>
      <c r="L17" s="1600"/>
      <c r="M17" s="1600"/>
      <c r="N17" s="1600"/>
      <c r="O17" s="1601"/>
      <c r="P17" s="314"/>
      <c r="Q17" s="1599">
        <v>42887</v>
      </c>
      <c r="R17" s="1600"/>
      <c r="S17" s="1600"/>
      <c r="T17" s="1600"/>
      <c r="U17" s="1600"/>
      <c r="V17" s="1600"/>
      <c r="W17" s="1601"/>
    </row>
    <row r="18" spans="1:26" ht="15" x14ac:dyDescent="0.25">
      <c r="A18" s="315" t="s">
        <v>335</v>
      </c>
      <c r="B18" s="316" t="s">
        <v>627</v>
      </c>
      <c r="C18" s="316" t="s">
        <v>628</v>
      </c>
      <c r="D18" s="316" t="s">
        <v>629</v>
      </c>
      <c r="E18" s="316" t="s">
        <v>630</v>
      </c>
      <c r="F18" s="325" t="s">
        <v>631</v>
      </c>
      <c r="G18" s="325" t="s">
        <v>104</v>
      </c>
      <c r="H18" s="313"/>
      <c r="I18" s="315" t="s">
        <v>335</v>
      </c>
      <c r="J18" s="316" t="s">
        <v>627</v>
      </c>
      <c r="K18" s="316" t="s">
        <v>628</v>
      </c>
      <c r="L18" s="316" t="s">
        <v>629</v>
      </c>
      <c r="M18" s="316" t="s">
        <v>630</v>
      </c>
      <c r="N18" s="325" t="s">
        <v>631</v>
      </c>
      <c r="O18" s="325" t="s">
        <v>104</v>
      </c>
      <c r="P18" s="314"/>
      <c r="Q18" s="315" t="s">
        <v>335</v>
      </c>
      <c r="R18" s="316" t="s">
        <v>627</v>
      </c>
      <c r="S18" s="316" t="s">
        <v>628</v>
      </c>
      <c r="T18" s="316" t="s">
        <v>629</v>
      </c>
      <c r="U18" s="316" t="s">
        <v>630</v>
      </c>
      <c r="V18" s="325" t="s">
        <v>631</v>
      </c>
      <c r="W18" s="325" t="s">
        <v>104</v>
      </c>
      <c r="Z18">
        <f t="shared" ref="Z18:Z24" si="1">COUNT(A18:E18,I18:M18,Q18:U18)</f>
        <v>0</v>
      </c>
    </row>
    <row r="19" spans="1:26" ht="15" x14ac:dyDescent="0.25">
      <c r="A19" s="317" t="s">
        <v>632</v>
      </c>
      <c r="B19" s="317" t="s">
        <v>632</v>
      </c>
      <c r="C19" s="317" t="s">
        <v>632</v>
      </c>
      <c r="D19" s="317" t="s">
        <v>632</v>
      </c>
      <c r="E19" s="317" t="s">
        <v>632</v>
      </c>
      <c r="F19" s="326">
        <v>42826</v>
      </c>
      <c r="G19" s="327">
        <v>42827</v>
      </c>
      <c r="H19" s="313"/>
      <c r="I19" s="327">
        <v>42856</v>
      </c>
      <c r="J19" s="317">
        <v>42857</v>
      </c>
      <c r="K19" s="317">
        <v>42858</v>
      </c>
      <c r="L19" s="317">
        <v>42859</v>
      </c>
      <c r="M19" s="317">
        <v>42860</v>
      </c>
      <c r="N19" s="326">
        <v>42861</v>
      </c>
      <c r="O19" s="326">
        <v>42862</v>
      </c>
      <c r="P19" s="314"/>
      <c r="Q19" s="317" t="s">
        <v>632</v>
      </c>
      <c r="R19" s="317" t="s">
        <v>632</v>
      </c>
      <c r="S19" s="317" t="s">
        <v>632</v>
      </c>
      <c r="T19" s="317">
        <v>42887</v>
      </c>
      <c r="U19" s="317">
        <v>42888</v>
      </c>
      <c r="V19" s="326">
        <v>42889</v>
      </c>
      <c r="W19" s="326">
        <v>42890</v>
      </c>
      <c r="Z19">
        <f t="shared" si="1"/>
        <v>7</v>
      </c>
    </row>
    <row r="20" spans="1:26" ht="15" x14ac:dyDescent="0.25">
      <c r="A20" s="317">
        <v>42828</v>
      </c>
      <c r="B20" s="317">
        <v>42829</v>
      </c>
      <c r="C20" s="317">
        <v>42830</v>
      </c>
      <c r="D20" s="317">
        <v>42831</v>
      </c>
      <c r="E20" s="317">
        <v>42832</v>
      </c>
      <c r="F20" s="326">
        <v>42833</v>
      </c>
      <c r="G20" s="326">
        <v>42834</v>
      </c>
      <c r="H20" s="313"/>
      <c r="I20" s="317">
        <v>42863</v>
      </c>
      <c r="J20" s="317">
        <v>42864</v>
      </c>
      <c r="K20" s="317">
        <v>42865</v>
      </c>
      <c r="L20" s="317">
        <v>42866</v>
      </c>
      <c r="M20" s="317">
        <v>42867</v>
      </c>
      <c r="N20" s="326">
        <v>42868</v>
      </c>
      <c r="O20" s="326">
        <v>42869</v>
      </c>
      <c r="P20" s="314"/>
      <c r="Q20" s="317">
        <v>42891</v>
      </c>
      <c r="R20" s="317">
        <v>42892</v>
      </c>
      <c r="S20" s="317">
        <v>42893</v>
      </c>
      <c r="T20" s="317">
        <v>42894</v>
      </c>
      <c r="U20" s="317">
        <v>42895</v>
      </c>
      <c r="V20" s="326">
        <v>42896</v>
      </c>
      <c r="W20" s="326">
        <v>42897</v>
      </c>
      <c r="Z20">
        <f t="shared" si="1"/>
        <v>15</v>
      </c>
    </row>
    <row r="21" spans="1:26" ht="15" x14ac:dyDescent="0.25">
      <c r="A21" s="317">
        <v>42835</v>
      </c>
      <c r="B21" s="317">
        <v>42836</v>
      </c>
      <c r="C21" s="317">
        <v>42837</v>
      </c>
      <c r="D21" s="327">
        <v>42838</v>
      </c>
      <c r="E21" s="327">
        <v>42839</v>
      </c>
      <c r="F21" s="326">
        <v>42840</v>
      </c>
      <c r="G21" s="326">
        <v>42841</v>
      </c>
      <c r="H21" s="313"/>
      <c r="I21" s="317">
        <v>42870</v>
      </c>
      <c r="J21" s="317">
        <v>42871</v>
      </c>
      <c r="K21" s="317">
        <v>42872</v>
      </c>
      <c r="L21" s="317">
        <v>42873</v>
      </c>
      <c r="M21" s="317">
        <v>42874</v>
      </c>
      <c r="N21" s="326">
        <v>42875</v>
      </c>
      <c r="O21" s="326">
        <v>42876</v>
      </c>
      <c r="P21" s="314"/>
      <c r="Q21" s="317">
        <v>42898</v>
      </c>
      <c r="R21" s="317">
        <v>42899</v>
      </c>
      <c r="S21" s="317">
        <v>42900</v>
      </c>
      <c r="T21" s="317">
        <v>42901</v>
      </c>
      <c r="U21" s="317">
        <v>42902</v>
      </c>
      <c r="V21" s="327">
        <v>42903</v>
      </c>
      <c r="W21" s="326">
        <v>42904</v>
      </c>
      <c r="Z21">
        <f t="shared" si="1"/>
        <v>15</v>
      </c>
    </row>
    <row r="22" spans="1:26" ht="15" x14ac:dyDescent="0.25">
      <c r="A22" s="317">
        <v>42842</v>
      </c>
      <c r="B22" s="317">
        <v>42843</v>
      </c>
      <c r="C22" s="317">
        <v>42844</v>
      </c>
      <c r="D22" s="317">
        <v>42845</v>
      </c>
      <c r="E22" s="317">
        <v>42846</v>
      </c>
      <c r="F22" s="326">
        <v>42847</v>
      </c>
      <c r="G22" s="326">
        <v>42848</v>
      </c>
      <c r="H22" s="313"/>
      <c r="I22" s="317">
        <v>42877</v>
      </c>
      <c r="J22" s="317">
        <v>42878</v>
      </c>
      <c r="K22" s="317">
        <v>42879</v>
      </c>
      <c r="L22" s="327">
        <v>42880</v>
      </c>
      <c r="M22" s="317">
        <v>42881</v>
      </c>
      <c r="N22" s="326">
        <v>42882</v>
      </c>
      <c r="O22" s="326">
        <v>42883</v>
      </c>
      <c r="P22" s="314"/>
      <c r="Q22" s="317">
        <v>42905</v>
      </c>
      <c r="R22" s="327">
        <v>42906</v>
      </c>
      <c r="S22" s="317">
        <v>42907</v>
      </c>
      <c r="T22" s="317">
        <v>42908</v>
      </c>
      <c r="U22" s="317">
        <v>42909</v>
      </c>
      <c r="V22" s="326">
        <v>42910</v>
      </c>
      <c r="W22" s="326">
        <v>42911</v>
      </c>
      <c r="Z22">
        <f t="shared" si="1"/>
        <v>15</v>
      </c>
    </row>
    <row r="23" spans="1:26" ht="15" x14ac:dyDescent="0.25">
      <c r="A23" s="317">
        <v>42849</v>
      </c>
      <c r="B23" s="317">
        <v>42850</v>
      </c>
      <c r="C23" s="317">
        <v>42851</v>
      </c>
      <c r="D23" s="317">
        <v>42852</v>
      </c>
      <c r="E23" s="317">
        <v>42853</v>
      </c>
      <c r="F23" s="326">
        <v>42854</v>
      </c>
      <c r="G23" s="326">
        <v>42855</v>
      </c>
      <c r="H23" s="313"/>
      <c r="I23" s="317">
        <v>42884</v>
      </c>
      <c r="J23" s="317">
        <v>42885</v>
      </c>
      <c r="K23" s="317">
        <v>42886</v>
      </c>
      <c r="L23" s="317" t="s">
        <v>632</v>
      </c>
      <c r="M23" s="317" t="s">
        <v>632</v>
      </c>
      <c r="N23" s="326" t="s">
        <v>632</v>
      </c>
      <c r="O23" s="326" t="s">
        <v>632</v>
      </c>
      <c r="P23" s="314"/>
      <c r="Q23" s="317">
        <v>42912</v>
      </c>
      <c r="R23" s="317">
        <v>42913</v>
      </c>
      <c r="S23" s="317">
        <v>42914</v>
      </c>
      <c r="T23" s="317">
        <v>42915</v>
      </c>
      <c r="U23" s="317">
        <v>42916</v>
      </c>
      <c r="V23" s="326" t="s">
        <v>632</v>
      </c>
      <c r="W23" s="326" t="s">
        <v>632</v>
      </c>
      <c r="Z23">
        <f t="shared" si="1"/>
        <v>13</v>
      </c>
    </row>
    <row r="24" spans="1:26" ht="15" x14ac:dyDescent="0.25">
      <c r="A24" s="317" t="s">
        <v>632</v>
      </c>
      <c r="B24" s="317" t="s">
        <v>632</v>
      </c>
      <c r="C24" s="317" t="s">
        <v>632</v>
      </c>
      <c r="D24" s="317" t="s">
        <v>632</v>
      </c>
      <c r="E24" s="317" t="s">
        <v>632</v>
      </c>
      <c r="F24" s="324" t="s">
        <v>632</v>
      </c>
      <c r="G24" s="324" t="s">
        <v>632</v>
      </c>
      <c r="H24" s="313"/>
      <c r="I24" s="317" t="s">
        <v>632</v>
      </c>
      <c r="J24" s="317" t="s">
        <v>632</v>
      </c>
      <c r="K24" s="317" t="s">
        <v>632</v>
      </c>
      <c r="L24" s="317" t="s">
        <v>632</v>
      </c>
      <c r="M24" s="317" t="s">
        <v>632</v>
      </c>
      <c r="N24" s="324" t="s">
        <v>632</v>
      </c>
      <c r="O24" s="324" t="s">
        <v>632</v>
      </c>
      <c r="P24" s="314"/>
      <c r="Q24" s="317" t="s">
        <v>632</v>
      </c>
      <c r="R24" s="317" t="s">
        <v>632</v>
      </c>
      <c r="S24" s="317" t="s">
        <v>632</v>
      </c>
      <c r="T24" s="317" t="s">
        <v>632</v>
      </c>
      <c r="U24" s="317" t="s">
        <v>632</v>
      </c>
      <c r="V24" s="324" t="s">
        <v>632</v>
      </c>
      <c r="W24" s="324" t="s">
        <v>632</v>
      </c>
      <c r="Z24">
        <f t="shared" si="1"/>
        <v>0</v>
      </c>
    </row>
    <row r="25" spans="1:26" ht="15" x14ac:dyDescent="0.25">
      <c r="A25" s="314"/>
      <c r="B25" s="314"/>
      <c r="C25" s="314"/>
      <c r="D25" s="314"/>
      <c r="E25" s="314"/>
      <c r="F25" s="314"/>
      <c r="G25" s="314"/>
      <c r="H25" s="313"/>
      <c r="I25" s="314"/>
      <c r="J25" s="314"/>
      <c r="K25" s="314"/>
      <c r="L25" s="314"/>
      <c r="M25" s="314"/>
      <c r="N25" s="314"/>
      <c r="O25" s="314"/>
      <c r="P25" s="314"/>
      <c r="Q25" s="314"/>
      <c r="R25" s="314"/>
      <c r="S25" s="314"/>
      <c r="T25" s="314"/>
      <c r="U25" s="314"/>
      <c r="V25" s="314"/>
      <c r="W25" s="314"/>
    </row>
    <row r="26" spans="1:26" ht="15" x14ac:dyDescent="0.25">
      <c r="A26" s="1599">
        <v>42917</v>
      </c>
      <c r="B26" s="1600"/>
      <c r="C26" s="1600"/>
      <c r="D26" s="1600"/>
      <c r="E26" s="1600"/>
      <c r="F26" s="1600"/>
      <c r="G26" s="1601"/>
      <c r="H26" s="313"/>
      <c r="I26" s="1599">
        <v>42948</v>
      </c>
      <c r="J26" s="1600"/>
      <c r="K26" s="1600"/>
      <c r="L26" s="1600"/>
      <c r="M26" s="1600"/>
      <c r="N26" s="1600"/>
      <c r="O26" s="1601"/>
      <c r="P26" s="314"/>
      <c r="Q26" s="1599">
        <v>42979</v>
      </c>
      <c r="R26" s="1600"/>
      <c r="S26" s="1600"/>
      <c r="T26" s="1600"/>
      <c r="U26" s="1600"/>
      <c r="V26" s="1600"/>
      <c r="W26" s="1601"/>
    </row>
    <row r="27" spans="1:26" ht="15" x14ac:dyDescent="0.25">
      <c r="A27" s="315" t="s">
        <v>335</v>
      </c>
      <c r="B27" s="316" t="s">
        <v>627</v>
      </c>
      <c r="C27" s="316" t="s">
        <v>628</v>
      </c>
      <c r="D27" s="316" t="s">
        <v>629</v>
      </c>
      <c r="E27" s="316" t="s">
        <v>630</v>
      </c>
      <c r="F27" s="325" t="s">
        <v>631</v>
      </c>
      <c r="G27" s="325" t="s">
        <v>104</v>
      </c>
      <c r="H27" s="313"/>
      <c r="I27" s="315" t="s">
        <v>335</v>
      </c>
      <c r="J27" s="316" t="s">
        <v>627</v>
      </c>
      <c r="K27" s="316" t="s">
        <v>628</v>
      </c>
      <c r="L27" s="316" t="s">
        <v>629</v>
      </c>
      <c r="M27" s="316" t="s">
        <v>630</v>
      </c>
      <c r="N27" s="325" t="s">
        <v>631</v>
      </c>
      <c r="O27" s="325" t="s">
        <v>104</v>
      </c>
      <c r="P27" s="314"/>
      <c r="Q27" s="315" t="s">
        <v>335</v>
      </c>
      <c r="R27" s="316" t="s">
        <v>627</v>
      </c>
      <c r="S27" s="316" t="s">
        <v>628</v>
      </c>
      <c r="T27" s="316" t="s">
        <v>629</v>
      </c>
      <c r="U27" s="316" t="s">
        <v>630</v>
      </c>
      <c r="V27" s="325" t="s">
        <v>631</v>
      </c>
      <c r="W27" s="325" t="s">
        <v>104</v>
      </c>
      <c r="Z27">
        <f t="shared" ref="Z27:Z33" si="2">COUNT(A27:E27,I27:M27,Q27:U27)</f>
        <v>0</v>
      </c>
    </row>
    <row r="28" spans="1:26" ht="15" x14ac:dyDescent="0.25">
      <c r="A28" s="317" t="s">
        <v>632</v>
      </c>
      <c r="B28" s="317" t="s">
        <v>632</v>
      </c>
      <c r="C28" s="317" t="s">
        <v>632</v>
      </c>
      <c r="D28" s="317" t="s">
        <v>632</v>
      </c>
      <c r="E28" s="317" t="s">
        <v>632</v>
      </c>
      <c r="F28" s="326">
        <v>42917</v>
      </c>
      <c r="G28" s="326">
        <v>42918</v>
      </c>
      <c r="H28" s="313"/>
      <c r="I28" s="317" t="s">
        <v>632</v>
      </c>
      <c r="J28" s="317">
        <v>42948</v>
      </c>
      <c r="K28" s="317">
        <v>42949</v>
      </c>
      <c r="L28" s="317">
        <v>42950</v>
      </c>
      <c r="M28" s="317">
        <v>42951</v>
      </c>
      <c r="N28" s="326">
        <v>42952</v>
      </c>
      <c r="O28" s="326">
        <v>42953</v>
      </c>
      <c r="P28" s="314"/>
      <c r="Q28" s="317" t="s">
        <v>632</v>
      </c>
      <c r="R28" s="317" t="s">
        <v>632</v>
      </c>
      <c r="S28" s="317" t="s">
        <v>632</v>
      </c>
      <c r="T28" s="317" t="s">
        <v>632</v>
      </c>
      <c r="U28" s="317">
        <v>42979</v>
      </c>
      <c r="V28" s="326">
        <v>42980</v>
      </c>
      <c r="W28" s="326">
        <v>42981</v>
      </c>
      <c r="Z28">
        <f t="shared" si="2"/>
        <v>5</v>
      </c>
    </row>
    <row r="29" spans="1:26" ht="15" x14ac:dyDescent="0.25">
      <c r="A29" s="317">
        <v>42919</v>
      </c>
      <c r="B29" s="317">
        <v>42920</v>
      </c>
      <c r="C29" s="317">
        <v>42921</v>
      </c>
      <c r="D29" s="317">
        <v>42922</v>
      </c>
      <c r="E29" s="317">
        <v>42923</v>
      </c>
      <c r="F29" s="326">
        <v>42924</v>
      </c>
      <c r="G29" s="327">
        <v>42925</v>
      </c>
      <c r="H29" s="313"/>
      <c r="I29" s="317">
        <v>42954</v>
      </c>
      <c r="J29" s="317">
        <v>42955</v>
      </c>
      <c r="K29" s="317">
        <v>42956</v>
      </c>
      <c r="L29" s="317">
        <v>42957</v>
      </c>
      <c r="M29" s="317">
        <v>42958</v>
      </c>
      <c r="N29" s="326">
        <v>42959</v>
      </c>
      <c r="O29" s="326">
        <v>42960</v>
      </c>
      <c r="P29" s="314"/>
      <c r="Q29" s="317">
        <v>42982</v>
      </c>
      <c r="R29" s="317">
        <v>42983</v>
      </c>
      <c r="S29" s="317">
        <v>42984</v>
      </c>
      <c r="T29" s="317">
        <v>42985</v>
      </c>
      <c r="U29" s="317">
        <v>42986</v>
      </c>
      <c r="V29" s="326">
        <v>42987</v>
      </c>
      <c r="W29" s="326">
        <v>42988</v>
      </c>
      <c r="Z29">
        <f t="shared" si="2"/>
        <v>15</v>
      </c>
    </row>
    <row r="30" spans="1:26" ht="15" x14ac:dyDescent="0.25">
      <c r="A30" s="317">
        <v>42926</v>
      </c>
      <c r="B30" s="317">
        <v>42927</v>
      </c>
      <c r="C30" s="317">
        <v>42928</v>
      </c>
      <c r="D30" s="317">
        <v>42929</v>
      </c>
      <c r="E30" s="317">
        <v>42930</v>
      </c>
      <c r="F30" s="326">
        <v>42931</v>
      </c>
      <c r="G30" s="326">
        <v>42932</v>
      </c>
      <c r="H30" s="313"/>
      <c r="I30" s="317">
        <v>42961</v>
      </c>
      <c r="J30" s="317">
        <v>42962</v>
      </c>
      <c r="K30" s="317">
        <v>42963</v>
      </c>
      <c r="L30" s="317">
        <v>42964</v>
      </c>
      <c r="M30" s="317">
        <v>42965</v>
      </c>
      <c r="N30" s="326">
        <v>42966</v>
      </c>
      <c r="O30" s="326">
        <v>42967</v>
      </c>
      <c r="P30" s="314"/>
      <c r="Q30" s="317">
        <v>42989</v>
      </c>
      <c r="R30" s="317">
        <v>42990</v>
      </c>
      <c r="S30" s="317">
        <v>42991</v>
      </c>
      <c r="T30" s="317">
        <v>42992</v>
      </c>
      <c r="U30" s="317">
        <v>42993</v>
      </c>
      <c r="V30" s="326">
        <v>42994</v>
      </c>
      <c r="W30" s="326">
        <v>42995</v>
      </c>
      <c r="Z30">
        <f t="shared" si="2"/>
        <v>15</v>
      </c>
    </row>
    <row r="31" spans="1:26" ht="15" x14ac:dyDescent="0.25">
      <c r="A31" s="317">
        <v>42933</v>
      </c>
      <c r="B31" s="317">
        <v>42934</v>
      </c>
      <c r="C31" s="317">
        <v>42935</v>
      </c>
      <c r="D31" s="317">
        <v>42936</v>
      </c>
      <c r="E31" s="317">
        <v>42937</v>
      </c>
      <c r="F31" s="326">
        <v>42938</v>
      </c>
      <c r="G31" s="326">
        <v>42939</v>
      </c>
      <c r="H31" s="313"/>
      <c r="I31" s="327">
        <v>42968</v>
      </c>
      <c r="J31" s="317">
        <v>42969</v>
      </c>
      <c r="K31" s="317">
        <v>42970</v>
      </c>
      <c r="L31" s="317">
        <v>42971</v>
      </c>
      <c r="M31" s="317">
        <v>42972</v>
      </c>
      <c r="N31" s="326">
        <v>42973</v>
      </c>
      <c r="O31" s="326">
        <v>42974</v>
      </c>
      <c r="P31" s="314"/>
      <c r="Q31" s="317">
        <v>42996</v>
      </c>
      <c r="R31" s="317">
        <v>42997</v>
      </c>
      <c r="S31" s="317">
        <v>42998</v>
      </c>
      <c r="T31" s="317">
        <v>42999</v>
      </c>
      <c r="U31" s="317">
        <v>43000</v>
      </c>
      <c r="V31" s="326">
        <v>43001</v>
      </c>
      <c r="W31" s="326">
        <v>43002</v>
      </c>
      <c r="Z31">
        <f t="shared" si="2"/>
        <v>15</v>
      </c>
    </row>
    <row r="32" spans="1:26" ht="15" x14ac:dyDescent="0.25">
      <c r="A32" s="317">
        <v>42940</v>
      </c>
      <c r="B32" s="317">
        <v>42941</v>
      </c>
      <c r="C32" s="317">
        <v>42942</v>
      </c>
      <c r="D32" s="317">
        <v>42943</v>
      </c>
      <c r="E32" s="317">
        <v>42944</v>
      </c>
      <c r="F32" s="326">
        <v>42945</v>
      </c>
      <c r="G32" s="326">
        <v>42946</v>
      </c>
      <c r="H32" s="313"/>
      <c r="I32" s="317">
        <v>42975</v>
      </c>
      <c r="J32" s="317">
        <v>42976</v>
      </c>
      <c r="K32" s="317">
        <v>42977</v>
      </c>
      <c r="L32" s="317">
        <v>42978</v>
      </c>
      <c r="M32" s="317" t="s">
        <v>632</v>
      </c>
      <c r="N32" s="326" t="s">
        <v>632</v>
      </c>
      <c r="O32" s="326" t="s">
        <v>632</v>
      </c>
      <c r="P32" s="314"/>
      <c r="Q32" s="317">
        <v>43003</v>
      </c>
      <c r="R32" s="317">
        <v>43004</v>
      </c>
      <c r="S32" s="317">
        <v>43005</v>
      </c>
      <c r="T32" s="317">
        <v>43006</v>
      </c>
      <c r="U32" s="317">
        <v>43007</v>
      </c>
      <c r="V32" s="326">
        <v>43008</v>
      </c>
      <c r="W32" s="326" t="s">
        <v>632</v>
      </c>
      <c r="Z32">
        <f t="shared" si="2"/>
        <v>14</v>
      </c>
    </row>
    <row r="33" spans="1:26" ht="15" x14ac:dyDescent="0.25">
      <c r="A33" s="317">
        <v>42947</v>
      </c>
      <c r="B33" s="317" t="s">
        <v>632</v>
      </c>
      <c r="C33" s="317" t="s">
        <v>632</v>
      </c>
      <c r="D33" s="317" t="s">
        <v>632</v>
      </c>
      <c r="E33" s="317" t="s">
        <v>632</v>
      </c>
      <c r="F33" s="324" t="s">
        <v>632</v>
      </c>
      <c r="G33" s="324" t="s">
        <v>632</v>
      </c>
      <c r="H33" s="313"/>
      <c r="I33" s="317" t="s">
        <v>632</v>
      </c>
      <c r="J33" s="317" t="s">
        <v>632</v>
      </c>
      <c r="K33" s="317" t="s">
        <v>632</v>
      </c>
      <c r="L33" s="317" t="s">
        <v>632</v>
      </c>
      <c r="M33" s="317" t="s">
        <v>632</v>
      </c>
      <c r="N33" s="324" t="s">
        <v>632</v>
      </c>
      <c r="O33" s="324" t="s">
        <v>632</v>
      </c>
      <c r="P33" s="314"/>
      <c r="Q33" s="317" t="s">
        <v>632</v>
      </c>
      <c r="R33" s="317" t="s">
        <v>632</v>
      </c>
      <c r="S33" s="317" t="s">
        <v>632</v>
      </c>
      <c r="T33" s="317" t="s">
        <v>632</v>
      </c>
      <c r="U33" s="317" t="s">
        <v>632</v>
      </c>
      <c r="V33" s="324" t="s">
        <v>632</v>
      </c>
      <c r="W33" s="324" t="s">
        <v>632</v>
      </c>
      <c r="Z33">
        <f t="shared" si="2"/>
        <v>1</v>
      </c>
    </row>
    <row r="34" spans="1:26" ht="15" x14ac:dyDescent="0.25">
      <c r="A34" s="314"/>
      <c r="B34" s="314"/>
      <c r="C34" s="314"/>
      <c r="D34" s="314"/>
      <c r="E34" s="314"/>
      <c r="F34" s="314"/>
      <c r="G34" s="314"/>
      <c r="H34" s="313"/>
      <c r="I34" s="314"/>
      <c r="J34" s="314"/>
      <c r="K34" s="314"/>
      <c r="L34" s="314"/>
      <c r="M34" s="314"/>
      <c r="N34" s="314"/>
      <c r="O34" s="314"/>
      <c r="P34" s="314"/>
      <c r="Q34" s="314"/>
      <c r="R34" s="314"/>
      <c r="S34" s="314"/>
      <c r="T34" s="314"/>
      <c r="U34" s="314"/>
      <c r="V34" s="314"/>
      <c r="W34" s="314"/>
    </row>
    <row r="35" spans="1:26" ht="15" x14ac:dyDescent="0.25">
      <c r="A35" s="1599">
        <v>43009</v>
      </c>
      <c r="B35" s="1600"/>
      <c r="C35" s="1600"/>
      <c r="D35" s="1600"/>
      <c r="E35" s="1600"/>
      <c r="F35" s="1600"/>
      <c r="G35" s="1601"/>
      <c r="H35" s="313"/>
      <c r="I35" s="1602">
        <v>43040</v>
      </c>
      <c r="J35" s="1603"/>
      <c r="K35" s="1603"/>
      <c r="L35" s="1603"/>
      <c r="M35" s="1603"/>
      <c r="N35" s="1603"/>
      <c r="O35" s="1604"/>
      <c r="P35" s="314"/>
      <c r="Q35" s="1602">
        <v>43070</v>
      </c>
      <c r="R35" s="1603"/>
      <c r="S35" s="1603"/>
      <c r="T35" s="1603"/>
      <c r="U35" s="1603"/>
      <c r="V35" s="1603"/>
      <c r="W35" s="1604"/>
    </row>
    <row r="36" spans="1:26" ht="15" x14ac:dyDescent="0.25">
      <c r="A36" s="315" t="s">
        <v>335</v>
      </c>
      <c r="B36" s="316" t="s">
        <v>627</v>
      </c>
      <c r="C36" s="316" t="s">
        <v>628</v>
      </c>
      <c r="D36" s="316" t="s">
        <v>629</v>
      </c>
      <c r="E36" s="316" t="s">
        <v>630</v>
      </c>
      <c r="F36" s="325" t="s">
        <v>631</v>
      </c>
      <c r="G36" s="325" t="s">
        <v>104</v>
      </c>
      <c r="H36" s="313"/>
      <c r="I36" s="318" t="s">
        <v>335</v>
      </c>
      <c r="J36" s="316" t="s">
        <v>627</v>
      </c>
      <c r="K36" s="316" t="s">
        <v>628</v>
      </c>
      <c r="L36" s="316" t="s">
        <v>629</v>
      </c>
      <c r="M36" s="316" t="s">
        <v>630</v>
      </c>
      <c r="N36" s="325" t="s">
        <v>631</v>
      </c>
      <c r="O36" s="325" t="s">
        <v>104</v>
      </c>
      <c r="P36" s="314"/>
      <c r="Q36" s="315" t="s">
        <v>335</v>
      </c>
      <c r="R36" s="316" t="s">
        <v>627</v>
      </c>
      <c r="S36" s="316" t="s">
        <v>628</v>
      </c>
      <c r="T36" s="316" t="s">
        <v>629</v>
      </c>
      <c r="U36" s="316" t="s">
        <v>630</v>
      </c>
      <c r="V36" s="325" t="s">
        <v>631</v>
      </c>
      <c r="W36" s="325" t="s">
        <v>104</v>
      </c>
      <c r="Z36">
        <f t="shared" ref="Z36:Z42" si="3">COUNT(A36:E36,I36:M36,Q36:U36)</f>
        <v>0</v>
      </c>
    </row>
    <row r="37" spans="1:26" ht="15" x14ac:dyDescent="0.25">
      <c r="A37" s="317" t="s">
        <v>632</v>
      </c>
      <c r="B37" s="317" t="s">
        <v>632</v>
      </c>
      <c r="C37" s="317" t="s">
        <v>632</v>
      </c>
      <c r="D37" s="317" t="s">
        <v>632</v>
      </c>
      <c r="E37" s="317" t="s">
        <v>632</v>
      </c>
      <c r="F37" s="326" t="s">
        <v>632</v>
      </c>
      <c r="G37" s="326">
        <v>43009</v>
      </c>
      <c r="H37" s="313"/>
      <c r="I37" s="319" t="s">
        <v>632</v>
      </c>
      <c r="J37" s="317" t="s">
        <v>632</v>
      </c>
      <c r="K37" s="317">
        <v>43040</v>
      </c>
      <c r="L37" s="317">
        <v>43041</v>
      </c>
      <c r="M37" s="317">
        <v>43042</v>
      </c>
      <c r="N37" s="326">
        <v>43043</v>
      </c>
      <c r="O37" s="326">
        <v>43044</v>
      </c>
      <c r="P37" s="314"/>
      <c r="Q37" s="317" t="s">
        <v>632</v>
      </c>
      <c r="R37" s="320" t="s">
        <v>632</v>
      </c>
      <c r="S37" s="320" t="s">
        <v>632</v>
      </c>
      <c r="T37" s="320" t="s">
        <v>632</v>
      </c>
      <c r="U37" s="320">
        <v>43070</v>
      </c>
      <c r="V37" s="326">
        <v>43071</v>
      </c>
      <c r="W37" s="326">
        <v>43072</v>
      </c>
      <c r="Z37">
        <f t="shared" si="3"/>
        <v>4</v>
      </c>
    </row>
    <row r="38" spans="1:26" ht="15" x14ac:dyDescent="0.25">
      <c r="A38" s="317">
        <v>43010</v>
      </c>
      <c r="B38" s="317">
        <v>43011</v>
      </c>
      <c r="C38" s="317">
        <v>43012</v>
      </c>
      <c r="D38" s="317">
        <v>43013</v>
      </c>
      <c r="E38" s="317">
        <v>43014</v>
      </c>
      <c r="F38" s="326">
        <v>43015</v>
      </c>
      <c r="G38" s="326">
        <v>43016</v>
      </c>
      <c r="H38" s="313"/>
      <c r="I38" s="317">
        <v>43045</v>
      </c>
      <c r="J38" s="317">
        <v>43046</v>
      </c>
      <c r="K38" s="317">
        <v>43047</v>
      </c>
      <c r="L38" s="317">
        <v>43048</v>
      </c>
      <c r="M38" s="317">
        <v>43049</v>
      </c>
      <c r="N38" s="326">
        <v>43050</v>
      </c>
      <c r="O38" s="326">
        <v>43051</v>
      </c>
      <c r="P38" s="314"/>
      <c r="Q38" s="317">
        <v>43073</v>
      </c>
      <c r="R38" s="320">
        <v>43074</v>
      </c>
      <c r="S38" s="320">
        <v>43075</v>
      </c>
      <c r="T38" s="320">
        <v>43076</v>
      </c>
      <c r="U38" s="327">
        <v>43077</v>
      </c>
      <c r="V38" s="326">
        <v>43078</v>
      </c>
      <c r="W38" s="326">
        <v>43079</v>
      </c>
      <c r="Z38">
        <f t="shared" si="3"/>
        <v>15</v>
      </c>
    </row>
    <row r="39" spans="1:26" ht="15" x14ac:dyDescent="0.25">
      <c r="A39" s="317">
        <v>43017</v>
      </c>
      <c r="B39" s="317">
        <v>43018</v>
      </c>
      <c r="C39" s="317">
        <v>43019</v>
      </c>
      <c r="D39" s="317">
        <v>43020</v>
      </c>
      <c r="E39" s="317">
        <v>43021</v>
      </c>
      <c r="F39" s="326">
        <v>43022</v>
      </c>
      <c r="G39" s="326">
        <v>43023</v>
      </c>
      <c r="H39" s="313"/>
      <c r="I39" s="317">
        <v>43052</v>
      </c>
      <c r="J39" s="317">
        <v>43053</v>
      </c>
      <c r="K39" s="317">
        <v>43054</v>
      </c>
      <c r="L39" s="317">
        <v>43055</v>
      </c>
      <c r="M39" s="317">
        <v>43056</v>
      </c>
      <c r="N39" s="326">
        <v>43057</v>
      </c>
      <c r="O39" s="326">
        <v>43058</v>
      </c>
      <c r="P39" s="314"/>
      <c r="Q39" s="317">
        <v>43080</v>
      </c>
      <c r="R39" s="320">
        <v>43081</v>
      </c>
      <c r="S39" s="320">
        <v>43082</v>
      </c>
      <c r="T39" s="320">
        <v>43083</v>
      </c>
      <c r="U39" s="320">
        <v>43084</v>
      </c>
      <c r="V39" s="326">
        <v>43085</v>
      </c>
      <c r="W39" s="326">
        <v>43086</v>
      </c>
      <c r="Z39">
        <f t="shared" si="3"/>
        <v>15</v>
      </c>
    </row>
    <row r="40" spans="1:26" ht="15" x14ac:dyDescent="0.25">
      <c r="A40" s="327">
        <v>43024</v>
      </c>
      <c r="B40" s="317">
        <v>43025</v>
      </c>
      <c r="C40" s="317">
        <v>43026</v>
      </c>
      <c r="D40" s="317">
        <v>43027</v>
      </c>
      <c r="E40" s="317">
        <v>43028</v>
      </c>
      <c r="F40" s="326">
        <v>43029</v>
      </c>
      <c r="G40" s="326">
        <v>43030</v>
      </c>
      <c r="H40" s="313"/>
      <c r="I40" s="327">
        <v>43059</v>
      </c>
      <c r="J40" s="317">
        <v>43060</v>
      </c>
      <c r="K40" s="317">
        <v>43061</v>
      </c>
      <c r="L40" s="317">
        <v>43062</v>
      </c>
      <c r="M40" s="317">
        <v>43063</v>
      </c>
      <c r="N40" s="326">
        <v>43064</v>
      </c>
      <c r="O40" s="326">
        <v>43065</v>
      </c>
      <c r="P40" s="314"/>
      <c r="Q40" s="317">
        <v>43087</v>
      </c>
      <c r="R40" s="320">
        <v>43088</v>
      </c>
      <c r="S40" s="320">
        <v>43089</v>
      </c>
      <c r="T40" s="320">
        <v>43090</v>
      </c>
      <c r="U40" s="320">
        <v>43091</v>
      </c>
      <c r="V40" s="326">
        <v>43092</v>
      </c>
      <c r="W40" s="326">
        <v>43093</v>
      </c>
      <c r="Z40">
        <f t="shared" si="3"/>
        <v>15</v>
      </c>
    </row>
    <row r="41" spans="1:26" ht="15" x14ac:dyDescent="0.25">
      <c r="A41" s="317">
        <v>43031</v>
      </c>
      <c r="B41" s="317">
        <v>43032</v>
      </c>
      <c r="C41" s="317">
        <v>43033</v>
      </c>
      <c r="D41" s="317">
        <v>43034</v>
      </c>
      <c r="E41" s="317">
        <v>43035</v>
      </c>
      <c r="F41" s="326">
        <v>43036</v>
      </c>
      <c r="G41" s="326">
        <v>43037</v>
      </c>
      <c r="H41" s="313"/>
      <c r="I41" s="317">
        <v>43066</v>
      </c>
      <c r="J41" s="317">
        <v>43067</v>
      </c>
      <c r="K41" s="317">
        <v>43068</v>
      </c>
      <c r="L41" s="317">
        <v>43069</v>
      </c>
      <c r="M41" s="317" t="s">
        <v>632</v>
      </c>
      <c r="N41" s="326" t="s">
        <v>632</v>
      </c>
      <c r="O41" s="326" t="s">
        <v>632</v>
      </c>
      <c r="P41" s="314"/>
      <c r="Q41" s="327">
        <v>43094</v>
      </c>
      <c r="R41" s="320">
        <v>43095</v>
      </c>
      <c r="S41" s="320">
        <v>43096</v>
      </c>
      <c r="T41" s="320">
        <v>43097</v>
      </c>
      <c r="U41" s="320">
        <v>43098</v>
      </c>
      <c r="V41" s="326">
        <v>43099</v>
      </c>
      <c r="W41" s="326">
        <v>43100</v>
      </c>
      <c r="Z41">
        <f t="shared" si="3"/>
        <v>14</v>
      </c>
    </row>
    <row r="42" spans="1:26" ht="15" x14ac:dyDescent="0.25">
      <c r="A42" s="317">
        <v>43038</v>
      </c>
      <c r="B42" s="317">
        <v>43039</v>
      </c>
      <c r="C42" s="317" t="s">
        <v>632</v>
      </c>
      <c r="D42" s="317" t="s">
        <v>632</v>
      </c>
      <c r="E42" s="317" t="s">
        <v>632</v>
      </c>
      <c r="F42" s="324" t="s">
        <v>632</v>
      </c>
      <c r="G42" s="324" t="s">
        <v>632</v>
      </c>
      <c r="H42" s="313"/>
      <c r="I42" s="319" t="s">
        <v>632</v>
      </c>
      <c r="J42" s="317" t="s">
        <v>632</v>
      </c>
      <c r="K42" s="317" t="s">
        <v>632</v>
      </c>
      <c r="L42" s="317" t="s">
        <v>632</v>
      </c>
      <c r="M42" s="317" t="s">
        <v>632</v>
      </c>
      <c r="N42" s="324" t="s">
        <v>632</v>
      </c>
      <c r="O42" s="324" t="s">
        <v>632</v>
      </c>
      <c r="P42" s="321" t="s">
        <v>626</v>
      </c>
      <c r="Q42" s="317" t="s">
        <v>632</v>
      </c>
      <c r="R42" s="317" t="s">
        <v>632</v>
      </c>
      <c r="S42" s="317" t="s">
        <v>632</v>
      </c>
      <c r="T42" s="317" t="s">
        <v>632</v>
      </c>
      <c r="U42" s="317" t="s">
        <v>632</v>
      </c>
      <c r="V42" s="324" t="s">
        <v>632</v>
      </c>
      <c r="W42" s="324" t="s">
        <v>632</v>
      </c>
      <c r="Z42">
        <f t="shared" si="3"/>
        <v>2</v>
      </c>
    </row>
    <row r="43" spans="1:26" x14ac:dyDescent="0.25">
      <c r="A43" s="322"/>
      <c r="B43" s="314"/>
      <c r="C43" s="314"/>
      <c r="D43" s="314"/>
      <c r="E43" s="314"/>
      <c r="F43" s="314"/>
      <c r="G43" s="314"/>
      <c r="H43" s="314"/>
      <c r="I43" s="314"/>
      <c r="J43" s="314"/>
      <c r="K43" s="314"/>
      <c r="L43" s="314"/>
      <c r="M43" s="314"/>
      <c r="N43" s="314"/>
      <c r="O43" s="314"/>
      <c r="P43" s="314"/>
      <c r="Q43" s="314"/>
      <c r="R43" s="314"/>
      <c r="S43" s="314"/>
      <c r="T43" s="314"/>
      <c r="U43" s="314"/>
      <c r="V43" s="314"/>
      <c r="W43" s="323"/>
    </row>
    <row r="44" spans="1:26" x14ac:dyDescent="0.25">
      <c r="I44" s="309">
        <f>COUNT(I37:M41)</f>
        <v>22</v>
      </c>
      <c r="Q44" s="309">
        <f>COUNT(Q37:U41)</f>
        <v>21</v>
      </c>
      <c r="X44">
        <f>+I44+Q44</f>
        <v>43</v>
      </c>
      <c r="Z44">
        <f>SUM(Z9:Z42)</f>
        <v>260</v>
      </c>
    </row>
  </sheetData>
  <mergeCells count="22">
    <mergeCell ref="A35:G35"/>
    <mergeCell ref="I35:O35"/>
    <mergeCell ref="Q35:W35"/>
    <mergeCell ref="A17:G17"/>
    <mergeCell ref="I17:O17"/>
    <mergeCell ref="Q17:W17"/>
    <mergeCell ref="A26:G26"/>
    <mergeCell ref="I26:O26"/>
    <mergeCell ref="Q26:W26"/>
    <mergeCell ref="A4:C4"/>
    <mergeCell ref="E4:G4"/>
    <mergeCell ref="I4:K4"/>
    <mergeCell ref="A6:W6"/>
    <mergeCell ref="A8:G8"/>
    <mergeCell ref="I8:O8"/>
    <mergeCell ref="Q8:W8"/>
    <mergeCell ref="A1:O1"/>
    <mergeCell ref="A2:K2"/>
    <mergeCell ref="Q2:W2"/>
    <mergeCell ref="A3:C3"/>
    <mergeCell ref="E3:G3"/>
    <mergeCell ref="I3:K3"/>
  </mergeCells>
  <conditionalFormatting sqref="I10:O15 Q10:W15 I19:O24 A28:G33 I28:O33 A10:G15 A37:G42 I37:O42 Q37:W42 A19:G24 Q19:W24 Q28:W33">
    <cfRule type="cellIs" dxfId="0" priority="1" stopIfTrue="1" operator="equal">
      <formula>""</formula>
    </cfRule>
  </conditionalFormatting>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163"/>
  <sheetViews>
    <sheetView topLeftCell="G1" workbookViewId="0">
      <selection activeCell="S8" sqref="S8"/>
    </sheetView>
  </sheetViews>
  <sheetFormatPr baseColWidth="10" defaultRowHeight="13.2" x14ac:dyDescent="0.25"/>
  <cols>
    <col min="1" max="1" width="26.6640625" customWidth="1"/>
    <col min="2" max="2" width="18.33203125" bestFit="1" customWidth="1"/>
    <col min="3" max="3" width="15.88671875" customWidth="1"/>
    <col min="4" max="4" width="17.109375" bestFit="1" customWidth="1"/>
    <col min="5" max="5" width="18.5546875" customWidth="1"/>
    <col min="6" max="6" width="18.5546875" style="799" customWidth="1"/>
    <col min="7" max="7" width="12.88671875" bestFit="1" customWidth="1"/>
    <col min="8" max="8" width="14.44140625" bestFit="1" customWidth="1"/>
    <col min="9" max="9" width="12.88671875" style="799" bestFit="1" customWidth="1"/>
    <col min="10" max="10" width="12.88671875" style="799" customWidth="1"/>
    <col min="11" max="11" width="14.44140625" style="799" bestFit="1" customWidth="1"/>
    <col min="12" max="12" width="18.109375" style="799" bestFit="1" customWidth="1"/>
    <col min="13" max="14" width="11.44140625" style="799"/>
    <col min="15" max="15" width="13.109375" customWidth="1"/>
    <col min="16" max="16" width="13.109375" style="799" customWidth="1"/>
    <col min="17" max="17" width="13.6640625" customWidth="1"/>
    <col min="18" max="18" width="16.44140625" style="799" customWidth="1"/>
    <col min="19" max="19" width="13.109375" customWidth="1"/>
    <col min="20" max="20" width="15.6640625" style="799" customWidth="1"/>
    <col min="21" max="21" width="12.88671875" bestFit="1" customWidth="1"/>
    <col min="22" max="22" width="15" customWidth="1"/>
    <col min="23" max="23" width="12.88671875" style="799" bestFit="1" customWidth="1"/>
    <col min="24" max="24" width="15" style="799" customWidth="1"/>
  </cols>
  <sheetData>
    <row r="1" spans="1:24" s="799" customFormat="1" ht="13.8" thickBot="1" x14ac:dyDescent="0.3">
      <c r="O1" s="1608" t="s">
        <v>895</v>
      </c>
      <c r="P1" s="1526"/>
      <c r="Q1" s="1608" t="s">
        <v>958</v>
      </c>
      <c r="R1" s="1527"/>
      <c r="S1" s="1608" t="s">
        <v>959</v>
      </c>
      <c r="T1" s="1527"/>
      <c r="U1" s="1608" t="s">
        <v>960</v>
      </c>
      <c r="V1" s="1527"/>
      <c r="W1" s="1608" t="s">
        <v>961</v>
      </c>
      <c r="X1" s="1527"/>
    </row>
    <row r="2" spans="1:24" ht="42" customHeight="1" thickBot="1" x14ac:dyDescent="0.3">
      <c r="A2" s="649"/>
      <c r="B2" s="999" t="s">
        <v>753</v>
      </c>
      <c r="C2" s="1000" t="s">
        <v>754</v>
      </c>
      <c r="D2" s="999" t="s">
        <v>798</v>
      </c>
      <c r="E2" s="1154" t="s">
        <v>893</v>
      </c>
      <c r="F2" s="1155" t="s">
        <v>913</v>
      </c>
      <c r="G2" s="1155" t="s">
        <v>940</v>
      </c>
      <c r="H2" s="1001" t="s">
        <v>856</v>
      </c>
      <c r="I2" s="1001" t="s">
        <v>941</v>
      </c>
      <c r="J2" s="1001"/>
      <c r="K2" s="1001" t="s">
        <v>949</v>
      </c>
      <c r="L2" s="1001"/>
      <c r="M2" s="1001"/>
      <c r="N2" s="1001"/>
      <c r="O2" s="1216" t="s">
        <v>952</v>
      </c>
      <c r="P2" s="1217" t="s">
        <v>956</v>
      </c>
      <c r="Q2" s="1218" t="s">
        <v>953</v>
      </c>
      <c r="R2" s="1217" t="s">
        <v>956</v>
      </c>
      <c r="S2" s="1218" t="s">
        <v>954</v>
      </c>
      <c r="T2" s="1217" t="s">
        <v>956</v>
      </c>
      <c r="U2" s="1218" t="s">
        <v>955</v>
      </c>
      <c r="V2" s="1217" t="s">
        <v>956</v>
      </c>
      <c r="W2" s="1218" t="s">
        <v>957</v>
      </c>
      <c r="X2" s="1217" t="s">
        <v>956</v>
      </c>
    </row>
    <row r="3" spans="1:24" ht="40.200000000000003" thickBot="1" x14ac:dyDescent="0.3">
      <c r="A3" s="998" t="s">
        <v>855</v>
      </c>
      <c r="B3" s="655">
        <v>38485</v>
      </c>
      <c r="C3" s="655">
        <v>59034</v>
      </c>
      <c r="D3" s="655">
        <v>118805.92499999999</v>
      </c>
      <c r="E3" s="954">
        <v>315099</v>
      </c>
      <c r="F3" s="1156">
        <v>407646</v>
      </c>
      <c r="G3" s="1156">
        <v>601553</v>
      </c>
      <c r="H3" s="1121">
        <f>G3+G7</f>
        <v>751553</v>
      </c>
      <c r="I3" s="1121">
        <f>G3+G8</f>
        <v>851553</v>
      </c>
      <c r="J3" s="1121">
        <v>950453</v>
      </c>
      <c r="K3" s="65">
        <f>I3/G3-1</f>
        <v>0.41559097868350747</v>
      </c>
      <c r="L3" s="64">
        <f>J3/I3-1</f>
        <v>0.11614074520317574</v>
      </c>
      <c r="M3" s="64"/>
      <c r="O3" s="1219">
        <v>950453</v>
      </c>
      <c r="P3" s="1220"/>
      <c r="Q3" s="1219">
        <v>950453</v>
      </c>
      <c r="R3" s="1220">
        <v>204347</v>
      </c>
      <c r="S3" s="1220">
        <v>950453</v>
      </c>
      <c r="T3" s="1220">
        <v>256622</v>
      </c>
      <c r="U3" s="1220">
        <v>950453</v>
      </c>
      <c r="V3" s="1220">
        <v>304145</v>
      </c>
      <c r="W3" s="1220">
        <v>950453</v>
      </c>
      <c r="X3" s="1220">
        <v>351668</v>
      </c>
    </row>
    <row r="4" spans="1:24" ht="27" thickBot="1" x14ac:dyDescent="0.3">
      <c r="A4" s="998" t="s">
        <v>854</v>
      </c>
      <c r="B4" s="656">
        <v>31374</v>
      </c>
      <c r="C4" s="656">
        <v>48865</v>
      </c>
      <c r="D4" s="655">
        <v>98340.812499999985</v>
      </c>
      <c r="E4" s="954">
        <v>260200</v>
      </c>
      <c r="F4" s="1156">
        <v>407646</v>
      </c>
      <c r="G4" s="1156">
        <v>496746</v>
      </c>
      <c r="H4" s="1121">
        <f>G4+G7</f>
        <v>646746</v>
      </c>
      <c r="I4" s="1121">
        <f>G4*1.58</f>
        <v>784858.68</v>
      </c>
      <c r="J4" s="1121"/>
      <c r="K4" s="64">
        <f>I4/H4-1</f>
        <v>0.21355011086268805</v>
      </c>
      <c r="L4" s="64"/>
      <c r="M4" s="64"/>
      <c r="N4" s="795" t="s">
        <v>910</v>
      </c>
      <c r="O4" s="1609">
        <f>O3+P3</f>
        <v>950453</v>
      </c>
      <c r="P4" s="1610"/>
      <c r="Q4" s="1609">
        <f t="shared" ref="Q4" si="0">Q3+R3</f>
        <v>1154800</v>
      </c>
      <c r="R4" s="1610"/>
      <c r="S4" s="1609">
        <f t="shared" ref="S4" si="1">S3+T3</f>
        <v>1207075</v>
      </c>
      <c r="T4" s="1610"/>
      <c r="U4" s="1609">
        <f t="shared" ref="U4" si="2">U3+V3</f>
        <v>1254598</v>
      </c>
      <c r="V4" s="1610"/>
      <c r="W4" s="1609">
        <f t="shared" ref="W4" si="3">W3+X3</f>
        <v>1302121</v>
      </c>
      <c r="X4" s="1610"/>
    </row>
    <row r="5" spans="1:24" x14ac:dyDescent="0.25">
      <c r="G5" s="1156"/>
      <c r="L5" s="1121"/>
      <c r="P5" s="1121">
        <f>O4</f>
        <v>950453</v>
      </c>
      <c r="R5" s="1121">
        <f>Q4</f>
        <v>1154800</v>
      </c>
      <c r="T5" s="1121">
        <f>S4</f>
        <v>1207075</v>
      </c>
      <c r="V5" s="1121">
        <f>U4</f>
        <v>1254598</v>
      </c>
      <c r="X5" s="1121">
        <f>W4</f>
        <v>1302121</v>
      </c>
    </row>
    <row r="6" spans="1:24" x14ac:dyDescent="0.25">
      <c r="D6" s="223"/>
      <c r="G6" s="1121"/>
    </row>
    <row r="7" spans="1:24" x14ac:dyDescent="0.25">
      <c r="G7" s="1121">
        <v>150000</v>
      </c>
      <c r="H7" s="799"/>
      <c r="I7" s="799">
        <v>300776</v>
      </c>
    </row>
    <row r="8" spans="1:24" x14ac:dyDescent="0.25">
      <c r="G8" s="1185">
        <v>250000</v>
      </c>
    </row>
    <row r="13" spans="1:24" x14ac:dyDescent="0.25">
      <c r="A13" s="879" t="s">
        <v>801</v>
      </c>
      <c r="B13" s="879"/>
      <c r="C13" s="879"/>
    </row>
    <row r="14" spans="1:24" x14ac:dyDescent="0.25">
      <c r="A14" s="799"/>
      <c r="B14" s="799"/>
      <c r="C14" s="799"/>
    </row>
    <row r="15" spans="1:24" x14ac:dyDescent="0.25">
      <c r="A15" s="1606" t="s">
        <v>520</v>
      </c>
      <c r="B15" s="1606"/>
      <c r="C15" s="1607"/>
    </row>
    <row r="16" spans="1:24" x14ac:dyDescent="0.25">
      <c r="A16" s="880" t="s">
        <v>802</v>
      </c>
      <c r="B16" s="881" t="s">
        <v>803</v>
      </c>
      <c r="C16" s="881" t="s">
        <v>804</v>
      </c>
    </row>
    <row r="17" spans="1:22" x14ac:dyDescent="0.25">
      <c r="A17" s="891" t="s">
        <v>809</v>
      </c>
      <c r="B17" s="837"/>
      <c r="C17" s="837">
        <v>6650</v>
      </c>
    </row>
    <row r="18" spans="1:22" x14ac:dyDescent="0.25">
      <c r="A18" s="882"/>
      <c r="B18" s="837"/>
      <c r="C18" s="837">
        <v>6650</v>
      </c>
    </row>
    <row r="19" spans="1:22" x14ac:dyDescent="0.25">
      <c r="A19" s="882"/>
      <c r="B19" s="837"/>
      <c r="C19" s="837">
        <v>4930</v>
      </c>
    </row>
    <row r="20" spans="1:22" x14ac:dyDescent="0.25">
      <c r="A20" s="882"/>
      <c r="B20" s="837"/>
      <c r="C20" s="837">
        <v>1930</v>
      </c>
    </row>
    <row r="21" spans="1:22" x14ac:dyDescent="0.25">
      <c r="A21" s="882"/>
      <c r="B21" s="837"/>
      <c r="C21" s="837"/>
    </row>
    <row r="22" spans="1:22" x14ac:dyDescent="0.25">
      <c r="A22" s="882"/>
      <c r="B22" s="837"/>
      <c r="C22" s="837"/>
    </row>
    <row r="23" spans="1:22" x14ac:dyDescent="0.25">
      <c r="A23" s="882"/>
      <c r="B23" s="837"/>
      <c r="C23" s="837"/>
    </row>
    <row r="24" spans="1:22" x14ac:dyDescent="0.25">
      <c r="A24" s="882"/>
      <c r="B24" s="837"/>
      <c r="C24" s="837"/>
    </row>
    <row r="25" spans="1:22" x14ac:dyDescent="0.25">
      <c r="A25" s="883" t="s">
        <v>805</v>
      </c>
      <c r="B25" s="835">
        <f>+(B17+B18+B19+B20+B21+B22+B23+B24)/8</f>
        <v>0</v>
      </c>
      <c r="C25" s="835">
        <f>SUM(C17:C24)/5</f>
        <v>4032</v>
      </c>
    </row>
    <row r="26" spans="1:22" x14ac:dyDescent="0.25">
      <c r="A26" s="884"/>
      <c r="B26" s="885"/>
      <c r="C26" s="885"/>
    </row>
    <row r="27" spans="1:22" x14ac:dyDescent="0.25">
      <c r="A27" s="836" t="s">
        <v>806</v>
      </c>
      <c r="B27" s="835">
        <f>+B25*12</f>
        <v>0</v>
      </c>
      <c r="C27" s="835">
        <f>+C25*12</f>
        <v>48384</v>
      </c>
    </row>
    <row r="28" spans="1:22" x14ac:dyDescent="0.25">
      <c r="A28" s="884"/>
      <c r="B28" s="885"/>
      <c r="C28" s="885"/>
    </row>
    <row r="29" spans="1:22" x14ac:dyDescent="0.25">
      <c r="A29" s="799"/>
      <c r="B29" s="799"/>
      <c r="C29" s="799"/>
    </row>
    <row r="30" spans="1:22" x14ac:dyDescent="0.25">
      <c r="A30" s="1606" t="s">
        <v>490</v>
      </c>
      <c r="B30" s="1606"/>
      <c r="C30" s="1607"/>
      <c r="O30" s="799"/>
      <c r="Q30" s="799"/>
      <c r="S30" s="799"/>
      <c r="U30" s="799"/>
      <c r="V30" s="799"/>
    </row>
    <row r="31" spans="1:22" x14ac:dyDescent="0.25">
      <c r="A31" s="880" t="s">
        <v>802</v>
      </c>
      <c r="B31" s="881" t="s">
        <v>803</v>
      </c>
      <c r="C31" s="881" t="s">
        <v>804</v>
      </c>
      <c r="O31" s="799"/>
      <c r="Q31" s="799"/>
      <c r="S31" s="799"/>
      <c r="U31" s="799"/>
      <c r="V31" s="799"/>
    </row>
    <row r="32" spans="1:22" s="799" customFormat="1" x14ac:dyDescent="0.25">
      <c r="A32" s="882"/>
      <c r="B32" s="837">
        <v>1400</v>
      </c>
      <c r="C32" s="837"/>
    </row>
    <row r="33" spans="1:22" s="799" customFormat="1" x14ac:dyDescent="0.25">
      <c r="A33" s="882"/>
      <c r="B33" s="837">
        <v>1490</v>
      </c>
      <c r="C33" s="837"/>
    </row>
    <row r="34" spans="1:22" s="799" customFormat="1" x14ac:dyDescent="0.25">
      <c r="A34" s="882"/>
      <c r="B34" s="837">
        <v>3620</v>
      </c>
      <c r="C34" s="837"/>
    </row>
    <row r="35" spans="1:22" s="799" customFormat="1" x14ac:dyDescent="0.25">
      <c r="A35" s="882"/>
      <c r="B35" s="837">
        <v>2246</v>
      </c>
      <c r="C35" s="837"/>
    </row>
    <row r="36" spans="1:22" s="799" customFormat="1" x14ac:dyDescent="0.25">
      <c r="A36" s="882"/>
      <c r="B36" s="837">
        <v>6100</v>
      </c>
      <c r="C36" s="837"/>
    </row>
    <row r="37" spans="1:22" s="799" customFormat="1" x14ac:dyDescent="0.25">
      <c r="A37" s="882"/>
      <c r="B37" s="837">
        <v>6100</v>
      </c>
      <c r="C37" s="837"/>
      <c r="O37"/>
      <c r="Q37"/>
      <c r="S37"/>
      <c r="U37"/>
      <c r="V37"/>
    </row>
    <row r="38" spans="1:22" s="799" customFormat="1" x14ac:dyDescent="0.25">
      <c r="A38" s="882"/>
      <c r="B38" s="837">
        <v>6100</v>
      </c>
      <c r="C38" s="837"/>
      <c r="O38"/>
      <c r="Q38"/>
      <c r="S38"/>
      <c r="U38"/>
      <c r="V38"/>
    </row>
    <row r="39" spans="1:22" x14ac:dyDescent="0.25">
      <c r="A39" s="882"/>
      <c r="B39" s="837">
        <v>1500</v>
      </c>
      <c r="C39" s="837"/>
    </row>
    <row r="40" spans="1:22" x14ac:dyDescent="0.25">
      <c r="A40" s="882"/>
      <c r="B40" s="837">
        <v>1400</v>
      </c>
      <c r="C40" s="837"/>
    </row>
    <row r="41" spans="1:22" x14ac:dyDescent="0.25">
      <c r="A41" s="882"/>
      <c r="B41" s="837">
        <v>700</v>
      </c>
      <c r="C41" s="837"/>
    </row>
    <row r="42" spans="1:22" x14ac:dyDescent="0.25">
      <c r="A42" s="882"/>
      <c r="B42" s="837">
        <v>1300</v>
      </c>
      <c r="C42" s="837"/>
      <c r="O42" s="799"/>
      <c r="Q42" s="799"/>
      <c r="S42" s="799"/>
      <c r="U42" s="799"/>
      <c r="V42" s="799"/>
    </row>
    <row r="43" spans="1:22" x14ac:dyDescent="0.25">
      <c r="A43" s="882"/>
      <c r="B43" s="837">
        <v>7000</v>
      </c>
      <c r="C43" s="837"/>
      <c r="O43" s="799"/>
      <c r="Q43" s="799"/>
      <c r="S43" s="799"/>
      <c r="U43" s="799"/>
      <c r="V43" s="799"/>
    </row>
    <row r="44" spans="1:22" s="799" customFormat="1" x14ac:dyDescent="0.25">
      <c r="A44" s="882"/>
      <c r="B44" s="837">
        <v>5500</v>
      </c>
      <c r="C44" s="837"/>
    </row>
    <row r="45" spans="1:22" s="799" customFormat="1" x14ac:dyDescent="0.25">
      <c r="A45" s="882"/>
      <c r="B45" s="837">
        <v>5500</v>
      </c>
      <c r="C45" s="837"/>
    </row>
    <row r="46" spans="1:22" s="799" customFormat="1" x14ac:dyDescent="0.25">
      <c r="A46" s="882"/>
      <c r="B46" s="837">
        <v>5500</v>
      </c>
      <c r="C46" s="837"/>
    </row>
    <row r="47" spans="1:22" s="799" customFormat="1" x14ac:dyDescent="0.25">
      <c r="A47" s="882"/>
      <c r="B47" s="837">
        <v>1600</v>
      </c>
      <c r="C47" s="837"/>
    </row>
    <row r="48" spans="1:22" s="799" customFormat="1" x14ac:dyDescent="0.25">
      <c r="A48" s="882"/>
      <c r="B48" s="837">
        <v>1500</v>
      </c>
      <c r="C48" s="837"/>
    </row>
    <row r="49" spans="1:22" s="799" customFormat="1" x14ac:dyDescent="0.25">
      <c r="A49" s="882"/>
      <c r="B49" s="837">
        <v>1500</v>
      </c>
      <c r="C49" s="837"/>
      <c r="O49"/>
      <c r="Q49"/>
      <c r="S49"/>
      <c r="U49"/>
      <c r="V49"/>
    </row>
    <row r="50" spans="1:22" s="799" customFormat="1" x14ac:dyDescent="0.25">
      <c r="A50" s="882"/>
      <c r="B50" s="837">
        <v>1500</v>
      </c>
      <c r="C50" s="837"/>
      <c r="O50"/>
      <c r="Q50"/>
      <c r="S50"/>
      <c r="U50"/>
      <c r="V50"/>
    </row>
    <row r="51" spans="1:22" x14ac:dyDescent="0.25">
      <c r="A51" s="883" t="s">
        <v>805</v>
      </c>
      <c r="B51" s="835">
        <f>SUM(B32:B50)/19</f>
        <v>3239.7894736842104</v>
      </c>
      <c r="C51" s="835">
        <f>+C43</f>
        <v>0</v>
      </c>
    </row>
    <row r="52" spans="1:22" x14ac:dyDescent="0.25">
      <c r="A52" s="884"/>
      <c r="B52" s="885"/>
      <c r="C52" s="885"/>
    </row>
    <row r="53" spans="1:22" x14ac:dyDescent="0.25">
      <c r="A53" s="836" t="s">
        <v>806</v>
      </c>
      <c r="B53" s="835">
        <f>+B51*12</f>
        <v>38877.473684210527</v>
      </c>
      <c r="C53" s="835">
        <f>+C51*12</f>
        <v>0</v>
      </c>
    </row>
    <row r="54" spans="1:22" x14ac:dyDescent="0.25">
      <c r="A54" s="884"/>
      <c r="B54" s="885"/>
      <c r="C54" s="885"/>
    </row>
    <row r="55" spans="1:22" x14ac:dyDescent="0.25">
      <c r="A55" s="799"/>
      <c r="B55" s="799"/>
      <c r="C55" s="799"/>
    </row>
    <row r="56" spans="1:22" x14ac:dyDescent="0.25">
      <c r="A56" s="1606" t="s">
        <v>792</v>
      </c>
      <c r="B56" s="1606"/>
      <c r="C56" s="1607"/>
      <c r="O56" s="799"/>
      <c r="Q56" s="799"/>
      <c r="S56" s="799"/>
      <c r="U56" s="799"/>
      <c r="V56" s="799"/>
    </row>
    <row r="57" spans="1:22" x14ac:dyDescent="0.25">
      <c r="A57" s="880" t="s">
        <v>802</v>
      </c>
      <c r="B57" s="881" t="s">
        <v>803</v>
      </c>
      <c r="C57" s="881" t="s">
        <v>804</v>
      </c>
      <c r="O57" s="799"/>
      <c r="Q57" s="799"/>
      <c r="S57" s="799"/>
      <c r="U57" s="799"/>
      <c r="V57" s="799"/>
    </row>
    <row r="58" spans="1:22" s="799" customFormat="1" x14ac:dyDescent="0.25">
      <c r="A58" s="882"/>
      <c r="B58" s="837">
        <v>1480</v>
      </c>
      <c r="C58" s="837">
        <v>15260</v>
      </c>
    </row>
    <row r="59" spans="1:22" s="799" customFormat="1" x14ac:dyDescent="0.25">
      <c r="A59" s="882"/>
      <c r="B59" s="837">
        <v>1180</v>
      </c>
      <c r="C59" s="837">
        <v>16420</v>
      </c>
    </row>
    <row r="60" spans="1:22" s="799" customFormat="1" x14ac:dyDescent="0.25">
      <c r="A60" s="882"/>
      <c r="B60" s="837">
        <v>1600</v>
      </c>
      <c r="C60" s="837">
        <v>3900</v>
      </c>
    </row>
    <row r="61" spans="1:22" s="799" customFormat="1" x14ac:dyDescent="0.25">
      <c r="A61" s="882"/>
      <c r="B61" s="837">
        <v>1570</v>
      </c>
      <c r="C61" s="837">
        <v>12730</v>
      </c>
      <c r="O61"/>
      <c r="Q61"/>
      <c r="S61"/>
      <c r="U61"/>
      <c r="V61"/>
    </row>
    <row r="62" spans="1:22" s="799" customFormat="1" x14ac:dyDescent="0.25">
      <c r="A62" s="882"/>
      <c r="B62" s="837">
        <v>4730</v>
      </c>
      <c r="C62" s="837"/>
      <c r="O62"/>
      <c r="Q62"/>
      <c r="S62"/>
      <c r="U62"/>
      <c r="V62"/>
    </row>
    <row r="63" spans="1:22" x14ac:dyDescent="0.25">
      <c r="A63" s="882"/>
      <c r="B63" s="837"/>
      <c r="C63" s="837"/>
    </row>
    <row r="64" spans="1:22" x14ac:dyDescent="0.25">
      <c r="A64" s="882"/>
      <c r="B64" s="837"/>
      <c r="C64" s="837"/>
    </row>
    <row r="65" spans="1:22" x14ac:dyDescent="0.25">
      <c r="A65" s="882"/>
      <c r="B65" s="837"/>
      <c r="C65" s="837"/>
    </row>
    <row r="66" spans="1:22" x14ac:dyDescent="0.25">
      <c r="A66" s="882"/>
      <c r="B66" s="837"/>
      <c r="C66" s="837"/>
    </row>
    <row r="67" spans="1:22" x14ac:dyDescent="0.25">
      <c r="A67" s="882"/>
      <c r="B67" s="837"/>
      <c r="C67" s="837"/>
    </row>
    <row r="68" spans="1:22" x14ac:dyDescent="0.25">
      <c r="A68" s="886" t="s">
        <v>805</v>
      </c>
      <c r="B68" s="835">
        <f>SUM(B58:B67)/5</f>
        <v>2112</v>
      </c>
      <c r="C68" s="835">
        <f>SUM(C58:C67)/4</f>
        <v>12077.5</v>
      </c>
    </row>
    <row r="69" spans="1:22" x14ac:dyDescent="0.25">
      <c r="A69" s="884"/>
      <c r="B69" s="885"/>
      <c r="C69" s="885"/>
    </row>
    <row r="70" spans="1:22" x14ac:dyDescent="0.25">
      <c r="A70" s="836" t="s">
        <v>806</v>
      </c>
      <c r="B70" s="835">
        <f>+B68*12</f>
        <v>25344</v>
      </c>
      <c r="C70" s="835">
        <f>+C68*12</f>
        <v>144930</v>
      </c>
    </row>
    <row r="71" spans="1:22" x14ac:dyDescent="0.25">
      <c r="A71" s="884"/>
      <c r="B71" s="885"/>
      <c r="C71" s="885"/>
    </row>
    <row r="72" spans="1:22" ht="14.4" x14ac:dyDescent="0.3">
      <c r="A72" s="39"/>
      <c r="B72" s="887"/>
      <c r="C72" s="887"/>
    </row>
    <row r="73" spans="1:22" x14ac:dyDescent="0.25">
      <c r="A73" s="1606" t="s">
        <v>789</v>
      </c>
      <c r="B73" s="1606"/>
      <c r="C73" s="1607"/>
      <c r="O73" s="799"/>
      <c r="Q73" s="799"/>
      <c r="S73" s="799"/>
      <c r="U73" s="799"/>
      <c r="V73" s="799"/>
    </row>
    <row r="74" spans="1:22" x14ac:dyDescent="0.25">
      <c r="A74" s="880" t="s">
        <v>802</v>
      </c>
      <c r="B74" s="881" t="s">
        <v>803</v>
      </c>
      <c r="C74" s="881" t="s">
        <v>804</v>
      </c>
      <c r="O74" s="799"/>
      <c r="Q74" s="799"/>
      <c r="S74" s="799"/>
      <c r="U74" s="799"/>
      <c r="V74" s="799"/>
    </row>
    <row r="75" spans="1:22" s="799" customFormat="1" x14ac:dyDescent="0.25">
      <c r="A75" s="649"/>
      <c r="B75" s="837">
        <v>5900</v>
      </c>
      <c r="C75" s="837"/>
    </row>
    <row r="76" spans="1:22" s="799" customFormat="1" x14ac:dyDescent="0.25">
      <c r="A76" s="649"/>
      <c r="B76" s="837">
        <v>2500</v>
      </c>
      <c r="C76" s="837"/>
    </row>
    <row r="77" spans="1:22" s="799" customFormat="1" x14ac:dyDescent="0.25">
      <c r="A77" s="649"/>
      <c r="B77" s="837">
        <v>2500</v>
      </c>
      <c r="C77" s="837"/>
    </row>
    <row r="78" spans="1:22" s="799" customFormat="1" x14ac:dyDescent="0.25">
      <c r="A78" s="649"/>
      <c r="B78" s="837">
        <v>6700</v>
      </c>
      <c r="C78" s="837"/>
    </row>
    <row r="79" spans="1:22" s="799" customFormat="1" x14ac:dyDescent="0.25">
      <c r="A79" s="649"/>
      <c r="B79" s="837">
        <v>5200</v>
      </c>
      <c r="C79" s="837"/>
    </row>
    <row r="80" spans="1:22" s="799" customFormat="1" x14ac:dyDescent="0.25">
      <c r="A80" s="649"/>
      <c r="B80" s="837">
        <v>5200</v>
      </c>
      <c r="C80" s="837"/>
    </row>
    <row r="81" spans="1:3" s="799" customFormat="1" x14ac:dyDescent="0.25">
      <c r="A81" s="649"/>
      <c r="B81" s="837">
        <v>5100</v>
      </c>
      <c r="C81" s="837"/>
    </row>
    <row r="82" spans="1:3" s="799" customFormat="1" x14ac:dyDescent="0.25">
      <c r="A82" s="649"/>
      <c r="B82" s="837">
        <v>5100</v>
      </c>
      <c r="C82" s="837"/>
    </row>
    <row r="83" spans="1:3" s="799" customFormat="1" x14ac:dyDescent="0.25">
      <c r="A83" s="649"/>
      <c r="B83" s="837">
        <v>6700</v>
      </c>
      <c r="C83" s="837"/>
    </row>
    <row r="84" spans="1:3" s="799" customFormat="1" x14ac:dyDescent="0.25">
      <c r="A84" s="649"/>
      <c r="B84" s="837">
        <v>4800</v>
      </c>
      <c r="C84" s="837"/>
    </row>
    <row r="85" spans="1:3" s="799" customFormat="1" x14ac:dyDescent="0.25">
      <c r="A85" s="649"/>
      <c r="B85" s="837">
        <v>4800</v>
      </c>
      <c r="C85" s="837"/>
    </row>
    <row r="86" spans="1:3" s="799" customFormat="1" x14ac:dyDescent="0.25">
      <c r="A86" s="649"/>
      <c r="B86" s="837">
        <v>4800</v>
      </c>
      <c r="C86" s="837"/>
    </row>
    <row r="87" spans="1:3" s="799" customFormat="1" x14ac:dyDescent="0.25">
      <c r="A87" s="649"/>
      <c r="B87" s="837">
        <v>4800</v>
      </c>
      <c r="C87" s="837"/>
    </row>
    <row r="88" spans="1:3" s="799" customFormat="1" x14ac:dyDescent="0.25">
      <c r="A88" s="649"/>
      <c r="B88" s="837">
        <v>5900</v>
      </c>
      <c r="C88" s="837"/>
    </row>
    <row r="89" spans="1:3" s="799" customFormat="1" x14ac:dyDescent="0.25">
      <c r="A89" s="649"/>
      <c r="B89" s="837">
        <v>5900</v>
      </c>
      <c r="C89" s="837"/>
    </row>
    <row r="90" spans="1:3" s="799" customFormat="1" x14ac:dyDescent="0.25">
      <c r="A90" s="882"/>
      <c r="B90" s="837">
        <v>5900</v>
      </c>
      <c r="C90" s="837"/>
    </row>
    <row r="91" spans="1:3" s="799" customFormat="1" x14ac:dyDescent="0.25">
      <c r="A91" s="882"/>
      <c r="B91" s="837">
        <v>5000</v>
      </c>
      <c r="C91" s="837"/>
    </row>
    <row r="92" spans="1:3" s="799" customFormat="1" x14ac:dyDescent="0.25">
      <c r="A92" s="882"/>
      <c r="B92" s="837">
        <v>1300</v>
      </c>
      <c r="C92" s="837"/>
    </row>
    <row r="93" spans="1:3" s="799" customFormat="1" x14ac:dyDescent="0.25">
      <c r="A93" s="882"/>
      <c r="B93" s="837">
        <v>1200</v>
      </c>
      <c r="C93" s="837"/>
    </row>
    <row r="94" spans="1:3" s="799" customFormat="1" x14ac:dyDescent="0.25">
      <c r="A94" s="882"/>
      <c r="B94" s="837">
        <v>5000</v>
      </c>
      <c r="C94" s="837"/>
    </row>
    <row r="95" spans="1:3" s="799" customFormat="1" x14ac:dyDescent="0.25">
      <c r="A95" s="882"/>
      <c r="B95" s="837">
        <v>5000</v>
      </c>
      <c r="C95" s="837"/>
    </row>
    <row r="96" spans="1:3" s="799" customFormat="1" x14ac:dyDescent="0.25">
      <c r="A96" s="882"/>
      <c r="B96" s="837">
        <v>5000</v>
      </c>
      <c r="C96" s="837"/>
    </row>
    <row r="97" spans="1:3" s="799" customFormat="1" x14ac:dyDescent="0.25">
      <c r="A97" s="882"/>
      <c r="B97" s="837">
        <v>10100</v>
      </c>
      <c r="C97" s="837"/>
    </row>
    <row r="98" spans="1:3" s="799" customFormat="1" x14ac:dyDescent="0.25">
      <c r="A98" s="882"/>
      <c r="B98" s="837">
        <v>5300</v>
      </c>
      <c r="C98" s="837"/>
    </row>
    <row r="99" spans="1:3" s="799" customFormat="1" x14ac:dyDescent="0.25">
      <c r="A99" s="882"/>
      <c r="B99" s="837">
        <v>5300</v>
      </c>
      <c r="C99" s="837"/>
    </row>
    <row r="100" spans="1:3" s="799" customFormat="1" x14ac:dyDescent="0.25">
      <c r="A100" s="882"/>
      <c r="B100" s="837">
        <v>5300</v>
      </c>
      <c r="C100" s="837"/>
    </row>
    <row r="101" spans="1:3" s="799" customFormat="1" x14ac:dyDescent="0.25">
      <c r="A101" s="882"/>
      <c r="B101" s="837">
        <v>5300</v>
      </c>
      <c r="C101" s="837"/>
    </row>
    <row r="102" spans="1:3" s="799" customFormat="1" x14ac:dyDescent="0.25">
      <c r="A102" s="882"/>
      <c r="B102" s="837">
        <v>13600</v>
      </c>
      <c r="C102" s="837"/>
    </row>
    <row r="103" spans="1:3" s="799" customFormat="1" x14ac:dyDescent="0.25">
      <c r="A103" s="882"/>
      <c r="B103" s="837">
        <v>13600</v>
      </c>
      <c r="C103" s="837"/>
    </row>
    <row r="104" spans="1:3" s="799" customFormat="1" x14ac:dyDescent="0.25">
      <c r="A104" s="882"/>
      <c r="B104" s="837">
        <v>10000</v>
      </c>
      <c r="C104" s="837"/>
    </row>
    <row r="105" spans="1:3" s="799" customFormat="1" x14ac:dyDescent="0.25">
      <c r="A105" s="882"/>
      <c r="B105" s="837">
        <v>8000</v>
      </c>
      <c r="C105" s="837"/>
    </row>
    <row r="106" spans="1:3" s="799" customFormat="1" x14ac:dyDescent="0.25">
      <c r="A106" s="882"/>
      <c r="B106" s="837">
        <v>13600</v>
      </c>
      <c r="C106" s="837"/>
    </row>
    <row r="107" spans="1:3" s="799" customFormat="1" x14ac:dyDescent="0.25">
      <c r="A107" s="882"/>
      <c r="B107" s="837">
        <v>9800</v>
      </c>
      <c r="C107" s="837"/>
    </row>
    <row r="108" spans="1:3" s="799" customFormat="1" x14ac:dyDescent="0.25">
      <c r="A108" s="882"/>
      <c r="B108" s="837">
        <v>9800</v>
      </c>
      <c r="C108" s="837"/>
    </row>
    <row r="109" spans="1:3" s="799" customFormat="1" x14ac:dyDescent="0.25">
      <c r="A109" s="882"/>
      <c r="B109" s="837">
        <v>9800</v>
      </c>
      <c r="C109" s="837"/>
    </row>
    <row r="110" spans="1:3" s="799" customFormat="1" x14ac:dyDescent="0.25">
      <c r="A110" s="882"/>
      <c r="B110" s="837">
        <v>15100</v>
      </c>
      <c r="C110" s="837"/>
    </row>
    <row r="111" spans="1:3" s="799" customFormat="1" x14ac:dyDescent="0.25">
      <c r="A111" s="882"/>
      <c r="B111" s="837">
        <v>15100</v>
      </c>
      <c r="C111" s="837"/>
    </row>
    <row r="112" spans="1:3" s="799" customFormat="1" x14ac:dyDescent="0.25">
      <c r="A112" s="882"/>
      <c r="B112" s="837">
        <v>10000</v>
      </c>
      <c r="C112" s="837"/>
    </row>
    <row r="113" spans="1:22" s="799" customFormat="1" x14ac:dyDescent="0.25">
      <c r="A113" s="882"/>
      <c r="B113" s="837">
        <v>4800</v>
      </c>
      <c r="C113" s="837"/>
    </row>
    <row r="114" spans="1:22" s="799" customFormat="1" x14ac:dyDescent="0.25">
      <c r="A114" s="882"/>
      <c r="B114" s="837">
        <v>3100</v>
      </c>
      <c r="C114" s="837"/>
      <c r="O114"/>
      <c r="Q114"/>
      <c r="S114"/>
      <c r="U114"/>
      <c r="V114"/>
    </row>
    <row r="115" spans="1:22" s="799" customFormat="1" x14ac:dyDescent="0.25">
      <c r="A115" s="882"/>
      <c r="B115" s="837">
        <v>3100</v>
      </c>
      <c r="C115" s="837"/>
      <c r="O115"/>
      <c r="Q115"/>
      <c r="S115"/>
      <c r="U115"/>
      <c r="V115"/>
    </row>
    <row r="116" spans="1:22" x14ac:dyDescent="0.25">
      <c r="A116" s="882"/>
      <c r="B116" s="837">
        <v>6000</v>
      </c>
      <c r="C116" s="837"/>
    </row>
    <row r="117" spans="1:22" x14ac:dyDescent="0.25">
      <c r="A117" s="882"/>
      <c r="B117" s="837">
        <v>6000</v>
      </c>
      <c r="C117" s="837"/>
    </row>
    <row r="118" spans="1:22" x14ac:dyDescent="0.25">
      <c r="A118" s="882"/>
      <c r="B118" s="837">
        <v>6000</v>
      </c>
      <c r="C118" s="837"/>
    </row>
    <row r="119" spans="1:22" x14ac:dyDescent="0.25">
      <c r="A119" s="882"/>
      <c r="B119" s="837">
        <v>2300</v>
      </c>
      <c r="C119" s="837"/>
      <c r="O119" s="799"/>
      <c r="Q119" s="799"/>
      <c r="S119" s="799"/>
      <c r="U119" s="799"/>
      <c r="V119" s="799"/>
    </row>
    <row r="120" spans="1:22" x14ac:dyDescent="0.25">
      <c r="A120" s="882"/>
      <c r="B120" s="837">
        <v>2300</v>
      </c>
      <c r="C120" s="837"/>
      <c r="O120" s="799"/>
      <c r="Q120" s="799"/>
      <c r="S120" s="799"/>
      <c r="U120" s="799"/>
      <c r="V120" s="799"/>
    </row>
    <row r="121" spans="1:22" s="799" customFormat="1" x14ac:dyDescent="0.25">
      <c r="A121" s="892"/>
      <c r="B121" s="837">
        <v>7900</v>
      </c>
      <c r="C121" s="837"/>
    </row>
    <row r="122" spans="1:22" s="799" customFormat="1" x14ac:dyDescent="0.25">
      <c r="A122" s="892"/>
      <c r="B122" s="837">
        <v>8900</v>
      </c>
      <c r="C122" s="837"/>
    </row>
    <row r="123" spans="1:22" s="799" customFormat="1" x14ac:dyDescent="0.25">
      <c r="A123" s="892"/>
      <c r="B123" s="837">
        <v>10000</v>
      </c>
      <c r="C123" s="837"/>
      <c r="O123"/>
      <c r="Q123"/>
      <c r="S123"/>
      <c r="U123"/>
      <c r="V123"/>
    </row>
    <row r="124" spans="1:22" s="799" customFormat="1" x14ac:dyDescent="0.25">
      <c r="A124" s="892"/>
      <c r="B124" s="837">
        <v>7900</v>
      </c>
      <c r="C124" s="837"/>
      <c r="O124"/>
      <c r="Q124"/>
      <c r="S124"/>
      <c r="U124"/>
      <c r="V124"/>
    </row>
    <row r="125" spans="1:22" x14ac:dyDescent="0.25">
      <c r="A125" s="886" t="s">
        <v>805</v>
      </c>
      <c r="B125" s="835">
        <f>SUM(B75:B124)/50</f>
        <v>6646</v>
      </c>
      <c r="C125" s="649"/>
    </row>
    <row r="126" spans="1:22" x14ac:dyDescent="0.25">
      <c r="A126" s="884"/>
      <c r="B126" s="885"/>
      <c r="C126" s="216"/>
    </row>
    <row r="127" spans="1:22" x14ac:dyDescent="0.25">
      <c r="A127" s="836" t="s">
        <v>806</v>
      </c>
      <c r="B127" s="835">
        <f>+B125*12</f>
        <v>79752</v>
      </c>
      <c r="C127" s="835">
        <f>+C125*12</f>
        <v>0</v>
      </c>
    </row>
    <row r="128" spans="1:22" x14ac:dyDescent="0.25">
      <c r="A128" s="884"/>
      <c r="B128" s="885"/>
      <c r="C128" s="216"/>
    </row>
    <row r="129" spans="1:3" x14ac:dyDescent="0.25">
      <c r="A129" s="799"/>
      <c r="B129" s="799"/>
      <c r="C129" s="799"/>
    </row>
    <row r="130" spans="1:3" x14ac:dyDescent="0.25">
      <c r="A130" s="1605" t="s">
        <v>790</v>
      </c>
      <c r="B130" s="1606"/>
      <c r="C130" s="1607"/>
    </row>
    <row r="131" spans="1:3" x14ac:dyDescent="0.25">
      <c r="A131" s="888" t="s">
        <v>802</v>
      </c>
      <c r="B131" s="881" t="s">
        <v>803</v>
      </c>
      <c r="C131" s="881" t="s">
        <v>804</v>
      </c>
    </row>
    <row r="132" spans="1:3" x14ac:dyDescent="0.25">
      <c r="A132" s="649"/>
      <c r="B132" s="837"/>
      <c r="C132" s="837">
        <v>18970</v>
      </c>
    </row>
    <row r="133" spans="1:3" x14ac:dyDescent="0.25">
      <c r="A133" s="649"/>
      <c r="B133" s="837"/>
      <c r="C133" s="837">
        <v>17570</v>
      </c>
    </row>
    <row r="134" spans="1:3" x14ac:dyDescent="0.25">
      <c r="A134" s="649"/>
      <c r="B134" s="837"/>
      <c r="C134" s="837">
        <v>5630</v>
      </c>
    </row>
    <row r="135" spans="1:3" x14ac:dyDescent="0.25">
      <c r="A135" s="649"/>
      <c r="B135" s="837"/>
      <c r="C135" s="837"/>
    </row>
    <row r="136" spans="1:3" x14ac:dyDescent="0.25">
      <c r="A136" s="649"/>
      <c r="B136" s="837"/>
      <c r="C136" s="837"/>
    </row>
    <row r="137" spans="1:3" x14ac:dyDescent="0.25">
      <c r="A137" s="889" t="s">
        <v>805</v>
      </c>
      <c r="B137" s="835">
        <f>+B132+B133+B134+B135+B136</f>
        <v>0</v>
      </c>
      <c r="C137" s="835">
        <f>SUM(C132:C136)/3</f>
        <v>14056.666666666666</v>
      </c>
    </row>
    <row r="138" spans="1:3" x14ac:dyDescent="0.25">
      <c r="A138" s="799"/>
      <c r="B138" s="799"/>
      <c r="C138" s="799"/>
    </row>
    <row r="139" spans="1:3" x14ac:dyDescent="0.25">
      <c r="A139" s="836" t="s">
        <v>806</v>
      </c>
      <c r="B139" s="835">
        <f>+B137*12</f>
        <v>0</v>
      </c>
      <c r="C139" s="835">
        <f>+C137*12</f>
        <v>168680</v>
      </c>
    </row>
    <row r="140" spans="1:3" x14ac:dyDescent="0.25">
      <c r="A140" s="799"/>
      <c r="B140" s="799"/>
      <c r="C140" s="799"/>
    </row>
    <row r="141" spans="1:3" x14ac:dyDescent="0.25">
      <c r="A141" s="799"/>
      <c r="B141" s="799"/>
      <c r="C141" s="799"/>
    </row>
    <row r="142" spans="1:3" x14ac:dyDescent="0.25">
      <c r="A142" s="1605" t="s">
        <v>807</v>
      </c>
      <c r="B142" s="1606"/>
      <c r="C142" s="1607"/>
    </row>
    <row r="143" spans="1:3" x14ac:dyDescent="0.25">
      <c r="A143" s="888" t="s">
        <v>802</v>
      </c>
      <c r="B143" s="881" t="s">
        <v>803</v>
      </c>
      <c r="C143" s="881" t="s">
        <v>804</v>
      </c>
    </row>
    <row r="144" spans="1:3" x14ac:dyDescent="0.25">
      <c r="A144" s="649"/>
      <c r="B144" s="837">
        <v>4900</v>
      </c>
      <c r="C144" s="837">
        <v>4500</v>
      </c>
    </row>
    <row r="145" spans="1:22" x14ac:dyDescent="0.25">
      <c r="A145" s="649"/>
      <c r="B145" s="837">
        <v>1500</v>
      </c>
      <c r="C145" s="837">
        <v>6000</v>
      </c>
    </row>
    <row r="146" spans="1:22" x14ac:dyDescent="0.25">
      <c r="A146" s="649"/>
      <c r="B146" s="837">
        <v>2700</v>
      </c>
      <c r="C146" s="837">
        <v>10100</v>
      </c>
    </row>
    <row r="147" spans="1:22" x14ac:dyDescent="0.25">
      <c r="A147" s="649"/>
      <c r="B147" s="837">
        <v>7930</v>
      </c>
      <c r="C147" s="837">
        <v>5900</v>
      </c>
      <c r="O147" s="799"/>
      <c r="Q147" s="799"/>
      <c r="S147" s="799"/>
      <c r="U147" s="799"/>
      <c r="V147" s="799"/>
    </row>
    <row r="148" spans="1:22" x14ac:dyDescent="0.25">
      <c r="A148" s="649"/>
      <c r="B148" s="837">
        <v>2400</v>
      </c>
      <c r="C148" s="837">
        <v>8200</v>
      </c>
      <c r="O148" s="799"/>
      <c r="Q148" s="799"/>
      <c r="S148" s="799"/>
      <c r="U148" s="799"/>
      <c r="V148" s="799"/>
    </row>
    <row r="149" spans="1:22" s="799" customFormat="1" x14ac:dyDescent="0.25">
      <c r="A149" s="649"/>
      <c r="B149" s="837">
        <v>3950</v>
      </c>
      <c r="C149" s="837">
        <v>35800</v>
      </c>
    </row>
    <row r="150" spans="1:22" s="799" customFormat="1" x14ac:dyDescent="0.25">
      <c r="A150" s="649"/>
      <c r="B150" s="837">
        <v>2700</v>
      </c>
      <c r="C150" s="837">
        <v>10700</v>
      </c>
    </row>
    <row r="151" spans="1:22" s="799" customFormat="1" x14ac:dyDescent="0.25">
      <c r="A151" s="649"/>
      <c r="B151" s="837">
        <v>1500</v>
      </c>
      <c r="C151" s="837">
        <v>6300</v>
      </c>
    </row>
    <row r="152" spans="1:22" s="799" customFormat="1" x14ac:dyDescent="0.25">
      <c r="A152" s="649"/>
      <c r="B152" s="837">
        <v>1600</v>
      </c>
      <c r="C152" s="837">
        <v>12200</v>
      </c>
    </row>
    <row r="153" spans="1:22" s="799" customFormat="1" x14ac:dyDescent="0.25">
      <c r="A153" s="649"/>
      <c r="B153" s="837">
        <v>3300</v>
      </c>
      <c r="C153" s="837">
        <v>17900</v>
      </c>
    </row>
    <row r="154" spans="1:22" s="799" customFormat="1" x14ac:dyDescent="0.25">
      <c r="A154" s="649"/>
      <c r="B154" s="837">
        <v>1700</v>
      </c>
      <c r="C154" s="837">
        <v>36200</v>
      </c>
      <c r="O154"/>
      <c r="Q154"/>
      <c r="S154"/>
      <c r="U154"/>
      <c r="V154"/>
    </row>
    <row r="155" spans="1:22" s="799" customFormat="1" x14ac:dyDescent="0.25">
      <c r="A155" s="649"/>
      <c r="B155" s="837">
        <v>1700</v>
      </c>
      <c r="C155" s="837">
        <v>40500</v>
      </c>
      <c r="O155"/>
      <c r="Q155"/>
      <c r="S155"/>
      <c r="U155"/>
      <c r="V155"/>
    </row>
    <row r="156" spans="1:22" x14ac:dyDescent="0.25">
      <c r="A156" s="649"/>
      <c r="B156" s="837">
        <v>12100</v>
      </c>
      <c r="C156" s="837"/>
    </row>
    <row r="157" spans="1:22" x14ac:dyDescent="0.25">
      <c r="A157" s="649"/>
      <c r="B157" s="837"/>
      <c r="C157" s="837"/>
    </row>
    <row r="158" spans="1:22" x14ac:dyDescent="0.25">
      <c r="A158" s="889" t="s">
        <v>805</v>
      </c>
      <c r="B158" s="835">
        <f>SUM(B144:B157)/13</f>
        <v>3690.7692307692309</v>
      </c>
      <c r="C158" s="835">
        <f>SUM(C144:C157)/12</f>
        <v>16191.666666666666</v>
      </c>
    </row>
    <row r="159" spans="1:22" x14ac:dyDescent="0.25">
      <c r="A159" s="799"/>
      <c r="B159" s="799"/>
      <c r="C159" s="799"/>
    </row>
    <row r="160" spans="1:22" x14ac:dyDescent="0.25">
      <c r="A160" s="836" t="s">
        <v>806</v>
      </c>
      <c r="B160" s="835">
        <f>+B158*12</f>
        <v>44289.230769230773</v>
      </c>
      <c r="C160" s="835">
        <f>+C158*12</f>
        <v>194300</v>
      </c>
    </row>
    <row r="161" spans="1:3" x14ac:dyDescent="0.25">
      <c r="A161" s="799"/>
      <c r="B161" s="799"/>
      <c r="C161" s="799"/>
    </row>
    <row r="162" spans="1:3" x14ac:dyDescent="0.25">
      <c r="A162" s="836" t="s">
        <v>808</v>
      </c>
      <c r="B162" s="835">
        <f>+(B27+B53+B70+B127+B139+B160)/4</f>
        <v>47065.676113360329</v>
      </c>
      <c r="C162" s="835">
        <f>+(C160+C139+C70+C53+C27)/4</f>
        <v>139073.5</v>
      </c>
    </row>
    <row r="163" spans="1:3" ht="15.6" x14ac:dyDescent="0.3">
      <c r="A163" s="799"/>
      <c r="B163" s="799"/>
      <c r="C163" s="890">
        <f>+C162+B162</f>
        <v>186139.17611336033</v>
      </c>
    </row>
  </sheetData>
  <mergeCells count="16">
    <mergeCell ref="W1:X1"/>
    <mergeCell ref="W4:X4"/>
    <mergeCell ref="S4:T4"/>
    <mergeCell ref="Q4:R4"/>
    <mergeCell ref="O4:P4"/>
    <mergeCell ref="U4:V4"/>
    <mergeCell ref="O1:P1"/>
    <mergeCell ref="Q1:R1"/>
    <mergeCell ref="S1:T1"/>
    <mergeCell ref="U1:V1"/>
    <mergeCell ref="A142:C142"/>
    <mergeCell ref="A130:C130"/>
    <mergeCell ref="A15:C15"/>
    <mergeCell ref="A30:C30"/>
    <mergeCell ref="A56:C56"/>
    <mergeCell ref="A73:C7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O34"/>
  <sheetViews>
    <sheetView workbookViewId="0">
      <selection activeCell="J35" sqref="J35"/>
    </sheetView>
  </sheetViews>
  <sheetFormatPr baseColWidth="10" defaultColWidth="11.44140625" defaultRowHeight="13.2" x14ac:dyDescent="0.25"/>
  <cols>
    <col min="1" max="1" width="7.109375" style="432" bestFit="1" customWidth="1"/>
    <col min="2" max="2" width="8.5546875" style="432" bestFit="1" customWidth="1"/>
    <col min="3" max="3" width="9" style="29" bestFit="1" customWidth="1"/>
    <col min="4" max="4" width="19.33203125" style="432" customWidth="1"/>
    <col min="5" max="5" width="9" style="432" bestFit="1" customWidth="1"/>
    <col min="6" max="6" width="17.109375" style="432" bestFit="1" customWidth="1"/>
    <col min="7" max="7" width="11.33203125" style="432" bestFit="1" customWidth="1"/>
    <col min="8" max="8" width="18.109375" style="432" bestFit="1" customWidth="1"/>
    <col min="9" max="9" width="9.5546875" style="432" bestFit="1" customWidth="1"/>
    <col min="10" max="10" width="20" style="432" customWidth="1"/>
    <col min="11" max="11" width="9" style="432" bestFit="1" customWidth="1"/>
    <col min="12" max="12" width="10.33203125" style="432" bestFit="1" customWidth="1"/>
    <col min="13" max="13" width="12" style="432" customWidth="1"/>
    <col min="14" max="14" width="11.44140625" style="432"/>
    <col min="15" max="15" width="10.33203125" style="432" bestFit="1" customWidth="1"/>
    <col min="16" max="16384" width="11.44140625" style="432"/>
  </cols>
  <sheetData>
    <row r="4" spans="1:15" ht="13.8" thickBot="1" x14ac:dyDescent="0.3"/>
    <row r="5" spans="1:15" ht="14.4" x14ac:dyDescent="0.25">
      <c r="A5" s="635" t="s">
        <v>729</v>
      </c>
      <c r="B5" s="636" t="s">
        <v>730</v>
      </c>
      <c r="C5" s="637" t="s">
        <v>731</v>
      </c>
      <c r="D5" s="636" t="s">
        <v>732</v>
      </c>
      <c r="E5" s="636" t="s">
        <v>733</v>
      </c>
      <c r="F5" s="636" t="s">
        <v>734</v>
      </c>
      <c r="G5" s="636" t="s">
        <v>733</v>
      </c>
      <c r="H5" s="636" t="s">
        <v>735</v>
      </c>
      <c r="I5" s="636" t="s">
        <v>733</v>
      </c>
      <c r="J5" s="636" t="s">
        <v>180</v>
      </c>
      <c r="K5" s="636" t="s">
        <v>733</v>
      </c>
      <c r="L5" s="636" t="s">
        <v>736</v>
      </c>
      <c r="M5" s="638" t="s">
        <v>733</v>
      </c>
      <c r="O5" s="328" t="s">
        <v>780</v>
      </c>
    </row>
    <row r="6" spans="1:15" ht="40.799999999999997" x14ac:dyDescent="0.25">
      <c r="A6" s="639">
        <v>43374</v>
      </c>
      <c r="B6" s="640" t="s">
        <v>737</v>
      </c>
      <c r="C6" s="641" t="s">
        <v>738</v>
      </c>
      <c r="D6" s="642">
        <v>476533198.97000003</v>
      </c>
      <c r="E6" s="640"/>
      <c r="F6" s="644">
        <v>375819937</v>
      </c>
      <c r="G6" s="643" t="s">
        <v>739</v>
      </c>
      <c r="H6" s="644">
        <v>100713262</v>
      </c>
      <c r="I6" s="643" t="s">
        <v>740</v>
      </c>
      <c r="J6" s="645">
        <v>13654594</v>
      </c>
      <c r="K6" s="643" t="s">
        <v>740</v>
      </c>
      <c r="L6" s="640">
        <v>1324</v>
      </c>
      <c r="M6" s="646" t="s">
        <v>741</v>
      </c>
      <c r="O6" s="819">
        <f>+J6/L6</f>
        <v>10313.137462235649</v>
      </c>
    </row>
    <row r="7" spans="1:15" x14ac:dyDescent="0.25">
      <c r="A7" s="647"/>
      <c r="B7" s="640"/>
      <c r="C7" s="641"/>
      <c r="D7" s="640"/>
      <c r="E7" s="640"/>
      <c r="F7" s="640"/>
      <c r="G7" s="640"/>
      <c r="H7" s="640"/>
      <c r="I7" s="640"/>
      <c r="J7" s="640"/>
      <c r="K7" s="640"/>
      <c r="L7" s="640"/>
      <c r="M7" s="646"/>
      <c r="O7" s="819"/>
    </row>
    <row r="8" spans="1:15" ht="51" x14ac:dyDescent="0.25">
      <c r="A8" s="639">
        <v>43497</v>
      </c>
      <c r="B8" s="640" t="s">
        <v>742</v>
      </c>
      <c r="C8" s="641" t="s">
        <v>743</v>
      </c>
      <c r="D8" s="644">
        <v>525223863.75999999</v>
      </c>
      <c r="E8" s="640"/>
      <c r="F8" s="644">
        <v>419039229.75999999</v>
      </c>
      <c r="G8" s="643" t="s">
        <v>744</v>
      </c>
      <c r="H8" s="648">
        <v>106184634</v>
      </c>
      <c r="I8" s="643" t="s">
        <v>740</v>
      </c>
      <c r="J8" s="645">
        <v>12525408</v>
      </c>
      <c r="K8" s="643" t="s">
        <v>740</v>
      </c>
      <c r="L8" s="640">
        <v>1125</v>
      </c>
      <c r="M8" s="646" t="s">
        <v>745</v>
      </c>
      <c r="O8" s="819">
        <f>+J8/L8</f>
        <v>11133.696</v>
      </c>
    </row>
    <row r="9" spans="1:15" x14ac:dyDescent="0.25">
      <c r="A9" s="647"/>
      <c r="B9" s="640"/>
      <c r="C9" s="641"/>
      <c r="D9" s="640"/>
      <c r="E9" s="640"/>
      <c r="F9" s="640"/>
      <c r="G9" s="640"/>
      <c r="H9" s="640"/>
      <c r="I9" s="640"/>
      <c r="J9" s="640"/>
      <c r="K9" s="640"/>
      <c r="L9" s="640"/>
      <c r="M9" s="818"/>
      <c r="O9" s="819"/>
    </row>
    <row r="10" spans="1:15" ht="51.6" thickBot="1" x14ac:dyDescent="0.3">
      <c r="A10" s="650">
        <v>43586</v>
      </c>
      <c r="B10" s="651" t="s">
        <v>746</v>
      </c>
      <c r="C10" s="652" t="s">
        <v>747</v>
      </c>
      <c r="D10" s="814">
        <v>504494170.98000002</v>
      </c>
      <c r="E10" s="651"/>
      <c r="F10" s="814">
        <v>378916312.98000002</v>
      </c>
      <c r="G10" s="653" t="s">
        <v>740</v>
      </c>
      <c r="H10" s="814">
        <v>125577858</v>
      </c>
      <c r="I10" s="653" t="s">
        <v>740</v>
      </c>
      <c r="J10" s="815">
        <v>11274760</v>
      </c>
      <c r="K10" s="653" t="s">
        <v>740</v>
      </c>
      <c r="L10" s="651">
        <v>1013</v>
      </c>
      <c r="M10" s="654" t="s">
        <v>748</v>
      </c>
      <c r="O10" s="819">
        <f>+J10/L10</f>
        <v>11130.069101678184</v>
      </c>
    </row>
    <row r="11" spans="1:15" x14ac:dyDescent="0.25">
      <c r="A11" s="647"/>
      <c r="B11" s="640"/>
      <c r="C11" s="641"/>
      <c r="D11" s="640"/>
      <c r="E11" s="640"/>
      <c r="F11" s="640"/>
      <c r="G11" s="640"/>
      <c r="H11" s="640"/>
      <c r="I11" s="640"/>
      <c r="J11" s="640"/>
      <c r="K11" s="640"/>
      <c r="L11" s="640"/>
      <c r="M11" s="818"/>
      <c r="O11" s="819"/>
    </row>
    <row r="12" spans="1:15" ht="41.4" thickBot="1" x14ac:dyDescent="0.3">
      <c r="A12" s="650">
        <v>43800</v>
      </c>
      <c r="B12" s="651" t="s">
        <v>749</v>
      </c>
      <c r="C12" s="652" t="s">
        <v>750</v>
      </c>
      <c r="D12" s="816">
        <f>+F12+H12</f>
        <v>570966439.06999993</v>
      </c>
      <c r="E12" s="651"/>
      <c r="F12" s="816">
        <v>479191225</v>
      </c>
      <c r="G12" s="653" t="s">
        <v>751</v>
      </c>
      <c r="H12" s="816">
        <v>91775214.069999993</v>
      </c>
      <c r="I12" s="653" t="s">
        <v>752</v>
      </c>
      <c r="J12" s="817">
        <v>11095468</v>
      </c>
      <c r="K12" s="653" t="s">
        <v>751</v>
      </c>
      <c r="L12" s="651">
        <v>992</v>
      </c>
      <c r="M12" s="654"/>
      <c r="O12" s="819">
        <f>+J12/L12</f>
        <v>11184.947580645161</v>
      </c>
    </row>
    <row r="13" spans="1:15" x14ac:dyDescent="0.25">
      <c r="O13" s="819"/>
    </row>
    <row r="14" spans="1:15" ht="48" customHeight="1" thickBot="1" x14ac:dyDescent="0.3">
      <c r="A14" s="650" t="s">
        <v>782</v>
      </c>
      <c r="B14" s="651" t="s">
        <v>767</v>
      </c>
      <c r="C14" s="652" t="s">
        <v>783</v>
      </c>
      <c r="D14" s="1144">
        <v>463625060</v>
      </c>
      <c r="E14" s="651"/>
      <c r="F14" s="1147">
        <v>273138911.27999997</v>
      </c>
      <c r="G14" s="653" t="s">
        <v>740</v>
      </c>
      <c r="H14" s="827">
        <v>190486149.08000001</v>
      </c>
      <c r="I14" s="653" t="s">
        <v>752</v>
      </c>
      <c r="J14" s="1146">
        <v>4707807.5</v>
      </c>
      <c r="K14" s="653" t="s">
        <v>740</v>
      </c>
      <c r="L14" s="651">
        <v>459</v>
      </c>
      <c r="M14" s="654"/>
      <c r="O14" s="819">
        <f>+J14/L14</f>
        <v>10256.661220043574</v>
      </c>
    </row>
    <row r="15" spans="1:15" x14ac:dyDescent="0.25">
      <c r="J15" s="1142"/>
      <c r="O15" s="819"/>
    </row>
    <row r="16" spans="1:15" ht="31.2" thickBot="1" x14ac:dyDescent="0.3">
      <c r="A16" s="650">
        <v>44621</v>
      </c>
      <c r="B16" s="651" t="s">
        <v>799</v>
      </c>
      <c r="C16" s="652" t="s">
        <v>800</v>
      </c>
      <c r="D16" s="1144">
        <v>1080524697.3299999</v>
      </c>
      <c r="E16" s="651"/>
      <c r="F16" s="1144">
        <v>644874993</v>
      </c>
      <c r="G16" s="653" t="s">
        <v>740</v>
      </c>
      <c r="H16" s="827">
        <v>433000000</v>
      </c>
      <c r="I16" s="653" t="s">
        <v>752</v>
      </c>
      <c r="J16" s="1145">
        <v>6695676</v>
      </c>
      <c r="K16" s="653" t="s">
        <v>740</v>
      </c>
      <c r="L16" s="651">
        <v>650</v>
      </c>
      <c r="M16" s="654"/>
      <c r="O16" s="819">
        <f>+J16/L16</f>
        <v>10301.040000000001</v>
      </c>
    </row>
    <row r="17" spans="1:15" x14ac:dyDescent="0.25">
      <c r="J17" s="1142"/>
      <c r="O17" s="819"/>
    </row>
    <row r="18" spans="1:15" ht="31.2" thickBot="1" x14ac:dyDescent="0.3">
      <c r="A18" s="650">
        <v>44621</v>
      </c>
      <c r="B18" s="651" t="s">
        <v>841</v>
      </c>
      <c r="C18" s="652" t="s">
        <v>888</v>
      </c>
      <c r="D18" s="1144"/>
      <c r="E18" s="651"/>
      <c r="F18" s="1144"/>
      <c r="G18" s="653" t="s">
        <v>740</v>
      </c>
      <c r="H18" s="827"/>
      <c r="I18" s="653" t="s">
        <v>752</v>
      </c>
      <c r="J18" s="1145"/>
      <c r="K18" s="653" t="s">
        <v>740</v>
      </c>
      <c r="L18" s="651">
        <v>836</v>
      </c>
      <c r="M18" s="654"/>
      <c r="O18" s="819">
        <f>+J18/L18</f>
        <v>0</v>
      </c>
    </row>
    <row r="19" spans="1:15" x14ac:dyDescent="0.25">
      <c r="J19" s="1142"/>
      <c r="O19" s="819"/>
    </row>
    <row r="20" spans="1:15" ht="31.2" thickBot="1" x14ac:dyDescent="0.3">
      <c r="A20" s="1140">
        <v>44621</v>
      </c>
      <c r="B20" s="651" t="s">
        <v>887</v>
      </c>
      <c r="C20" s="652" t="s">
        <v>889</v>
      </c>
      <c r="D20" s="1141">
        <v>3923764061</v>
      </c>
      <c r="E20" s="651"/>
      <c r="F20" s="1141">
        <v>2653732910</v>
      </c>
      <c r="G20" s="653" t="s">
        <v>740</v>
      </c>
      <c r="H20" s="1143">
        <v>1270031151</v>
      </c>
      <c r="I20" s="653" t="s">
        <v>752</v>
      </c>
      <c r="J20" s="1145">
        <f>'INFO SECRETARIA'!B11</f>
        <v>6452004</v>
      </c>
      <c r="K20" s="653" t="s">
        <v>740</v>
      </c>
      <c r="L20" s="651">
        <v>945</v>
      </c>
      <c r="M20" s="653"/>
      <c r="O20" s="819">
        <f>+J20/L20</f>
        <v>6827.5174603174601</v>
      </c>
    </row>
    <row r="21" spans="1:15" x14ac:dyDescent="0.25">
      <c r="J21" s="1142"/>
    </row>
    <row r="22" spans="1:15" ht="31.2" thickBot="1" x14ac:dyDescent="0.3">
      <c r="A22" s="650">
        <v>44621</v>
      </c>
      <c r="B22" s="1138" t="s">
        <v>914</v>
      </c>
      <c r="C22" s="1139" t="s">
        <v>916</v>
      </c>
      <c r="D22" s="1144">
        <f>'Resumen de Calculo'!J65</f>
        <v>6452004</v>
      </c>
      <c r="E22" s="651"/>
      <c r="F22" s="1144">
        <f>'INFO SECRETARIA'!B15</f>
        <v>5162162424.1007299</v>
      </c>
      <c r="G22" s="653" t="s">
        <v>740</v>
      </c>
      <c r="H22" s="827">
        <f>'INFO SECRETARIA'!B16+'INFO SECRETARIA'!B17</f>
        <v>0</v>
      </c>
      <c r="I22" s="653" t="s">
        <v>752</v>
      </c>
      <c r="J22" s="1145">
        <v>8198225</v>
      </c>
      <c r="K22" s="653" t="s">
        <v>740</v>
      </c>
      <c r="L22" s="651">
        <v>945</v>
      </c>
      <c r="M22" s="654"/>
      <c r="O22" s="819">
        <f>J22/L22</f>
        <v>8675.3703703703704</v>
      </c>
    </row>
    <row r="23" spans="1:15" x14ac:dyDescent="0.25">
      <c r="J23" s="1142"/>
    </row>
    <row r="24" spans="1:15" ht="31.2" thickBot="1" x14ac:dyDescent="0.3">
      <c r="A24" s="650">
        <v>44621</v>
      </c>
      <c r="B24" s="1138" t="s">
        <v>915</v>
      </c>
      <c r="C24" s="1139" t="s">
        <v>917</v>
      </c>
      <c r="D24" s="1144">
        <f>'INFO SECRETARIA'!B19</f>
        <v>5162162424.1007299</v>
      </c>
      <c r="E24" s="651"/>
      <c r="F24" s="1144">
        <f>'INFO SECRETARIA'!B15</f>
        <v>5162162424.1007299</v>
      </c>
      <c r="G24" s="653" t="s">
        <v>740</v>
      </c>
      <c r="H24" s="827">
        <f>'INFO SECRETARIA'!B16+'INFO SECRETARIA'!B17+'INFO SECRETARIA'!B16</f>
        <v>0</v>
      </c>
      <c r="I24" s="653" t="s">
        <v>752</v>
      </c>
      <c r="J24" s="1145">
        <f>'INFO SECRETARIA'!B11</f>
        <v>6452004</v>
      </c>
      <c r="K24" s="653" t="s">
        <v>740</v>
      </c>
      <c r="L24" s="651">
        <v>945</v>
      </c>
      <c r="M24" s="654"/>
      <c r="O24" s="819">
        <f>J24/L24</f>
        <v>6827.5174603174601</v>
      </c>
    </row>
    <row r="32" spans="1:15" x14ac:dyDescent="0.25">
      <c r="J32" s="432">
        <v>5716908</v>
      </c>
    </row>
    <row r="33" spans="10:10" x14ac:dyDescent="0.25">
      <c r="J33" s="432">
        <v>68878</v>
      </c>
    </row>
    <row r="34" spans="10:10" x14ac:dyDescent="0.25">
      <c r="J34" s="432">
        <f>J32/J33</f>
        <v>83.000493626411924</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84"/>
  <sheetViews>
    <sheetView topLeftCell="A37" workbookViewId="0">
      <selection activeCell="C45" sqref="C45"/>
    </sheetView>
  </sheetViews>
  <sheetFormatPr baseColWidth="10" defaultRowHeight="13.2" x14ac:dyDescent="0.25"/>
  <cols>
    <col min="1" max="1" width="33.33203125" customWidth="1"/>
    <col min="2" max="2" width="18.88671875" customWidth="1"/>
    <col min="3" max="3" width="15.44140625" customWidth="1"/>
    <col min="4" max="4" width="21.109375" customWidth="1"/>
    <col min="5" max="5" width="18.88671875" customWidth="1"/>
    <col min="6" max="6" width="23.6640625" customWidth="1"/>
    <col min="7" max="7" width="23" customWidth="1"/>
    <col min="8" max="8" width="17.6640625" customWidth="1"/>
    <col min="9" max="9" width="18.109375" bestFit="1" customWidth="1"/>
    <col min="10" max="10" width="28.44140625" customWidth="1"/>
    <col min="11" max="11" width="13.88671875" bestFit="1" customWidth="1"/>
    <col min="13" max="13" width="22.5546875" customWidth="1"/>
    <col min="14" max="14" width="13.44140625" bestFit="1" customWidth="1"/>
  </cols>
  <sheetData>
    <row r="1" spans="1:15" ht="18.600000000000001" thickBot="1" x14ac:dyDescent="0.4">
      <c r="A1" s="1092" t="s">
        <v>872</v>
      </c>
      <c r="B1" s="1093"/>
      <c r="C1" s="1093"/>
    </row>
    <row r="2" spans="1:15" ht="14.4" thickBot="1" x14ac:dyDescent="0.35">
      <c r="A2" s="1094" t="s">
        <v>873</v>
      </c>
      <c r="B2" s="1093"/>
      <c r="C2" s="1093"/>
      <c r="M2" s="1095" t="s">
        <v>470</v>
      </c>
      <c r="N2" s="1164" t="s">
        <v>436</v>
      </c>
      <c r="O2" s="1093"/>
    </row>
    <row r="3" spans="1:15" ht="14.4" thickBot="1" x14ac:dyDescent="0.35">
      <c r="A3" s="1093"/>
      <c r="B3" s="1093"/>
      <c r="C3" s="1093"/>
      <c r="M3" s="1165" t="s">
        <v>882</v>
      </c>
      <c r="N3" s="1166">
        <v>3173296442.1609373</v>
      </c>
      <c r="O3" s="1093"/>
    </row>
    <row r="4" spans="1:15" ht="14.4" thickBot="1" x14ac:dyDescent="0.35">
      <c r="A4" s="1095" t="s">
        <v>470</v>
      </c>
      <c r="B4" s="1095" t="s">
        <v>436</v>
      </c>
      <c r="C4" s="1093"/>
      <c r="M4" s="1167" t="s">
        <v>883</v>
      </c>
      <c r="N4" s="1162">
        <v>732839237.57033408</v>
      </c>
      <c r="O4" s="1093"/>
    </row>
    <row r="5" spans="1:15" ht="13.8" x14ac:dyDescent="0.3">
      <c r="A5" s="1096" t="s">
        <v>874</v>
      </c>
      <c r="B5" s="1097">
        <v>1118</v>
      </c>
      <c r="C5" s="1093"/>
      <c r="M5" s="1167" t="s">
        <v>884</v>
      </c>
      <c r="N5" s="1162">
        <v>733534775.26122069</v>
      </c>
      <c r="O5" s="1093"/>
    </row>
    <row r="6" spans="1:15" ht="13.8" x14ac:dyDescent="0.3">
      <c r="A6" s="1098" t="s">
        <v>875</v>
      </c>
      <c r="B6" s="1099"/>
      <c r="C6" s="1093"/>
      <c r="M6" s="1167" t="s">
        <v>880</v>
      </c>
      <c r="N6" s="1168">
        <v>7163544</v>
      </c>
      <c r="O6" s="1093"/>
    </row>
    <row r="7" spans="1:15" ht="13.8" x14ac:dyDescent="0.3">
      <c r="A7" s="1098" t="s">
        <v>876</v>
      </c>
      <c r="B7" s="1099">
        <v>1155</v>
      </c>
      <c r="C7" s="1093"/>
      <c r="M7" s="1169" t="s">
        <v>890</v>
      </c>
      <c r="N7" s="1170">
        <f>+$B$10*P7</f>
        <v>0</v>
      </c>
      <c r="O7" s="1171"/>
    </row>
    <row r="8" spans="1:15" ht="13.8" x14ac:dyDescent="0.3">
      <c r="A8" s="1098" t="s">
        <v>877</v>
      </c>
      <c r="B8" s="1099">
        <v>924</v>
      </c>
      <c r="C8" s="1103"/>
      <c r="M8" s="1169" t="s">
        <v>891</v>
      </c>
      <c r="N8" s="1170">
        <f>+$B$10*P8</f>
        <v>0</v>
      </c>
      <c r="O8" s="1171"/>
    </row>
    <row r="9" spans="1:15" ht="14.4" thickBot="1" x14ac:dyDescent="0.35">
      <c r="A9" s="1098" t="s">
        <v>878</v>
      </c>
      <c r="B9" s="1099">
        <v>945</v>
      </c>
      <c r="C9" s="1103"/>
      <c r="M9" s="1172" t="s">
        <v>929</v>
      </c>
      <c r="N9" s="1173">
        <v>1183</v>
      </c>
      <c r="O9" s="1093"/>
    </row>
    <row r="10" spans="1:15" ht="14.4" thickBot="1" x14ac:dyDescent="0.35">
      <c r="A10" s="1098" t="s">
        <v>879</v>
      </c>
      <c r="B10" s="1099">
        <v>723</v>
      </c>
      <c r="C10" s="1093"/>
      <c r="E10" s="216"/>
      <c r="F10" s="216"/>
      <c r="M10" s="1174"/>
      <c r="N10" s="1175"/>
      <c r="O10" s="1093"/>
    </row>
    <row r="11" spans="1:15" ht="14.4" thickBot="1" x14ac:dyDescent="0.35">
      <c r="A11" s="1130" t="s">
        <v>880</v>
      </c>
      <c r="B11" s="1378">
        <v>6452004</v>
      </c>
      <c r="C11" s="1104">
        <f>+B11/$B$11</f>
        <v>1</v>
      </c>
      <c r="E11" s="1380"/>
      <c r="F11" s="1381"/>
      <c r="G11" s="64"/>
      <c r="M11" s="1095" t="s">
        <v>908</v>
      </c>
      <c r="N11" s="1095" t="s">
        <v>436</v>
      </c>
      <c r="O11" s="1095" t="s">
        <v>909</v>
      </c>
    </row>
    <row r="12" spans="1:15" ht="13.8" x14ac:dyDescent="0.3">
      <c r="A12" s="1131" t="s">
        <v>890</v>
      </c>
      <c r="B12" s="1132">
        <f>B11*0.5656</f>
        <v>3649253.4624000001</v>
      </c>
      <c r="C12" s="1379">
        <f>+B12/$B$11</f>
        <v>0.56559999999999999</v>
      </c>
      <c r="D12" t="s">
        <v>928</v>
      </c>
      <c r="E12" s="216"/>
      <c r="F12" s="216"/>
      <c r="M12" s="1124" t="s">
        <v>910</v>
      </c>
      <c r="N12" s="1125">
        <v>933</v>
      </c>
      <c r="O12" s="1125">
        <v>7163544</v>
      </c>
    </row>
    <row r="13" spans="1:15" ht="13.8" x14ac:dyDescent="0.3">
      <c r="A13" s="1131" t="s">
        <v>891</v>
      </c>
      <c r="B13" s="1132">
        <f>B11*0.4344</f>
        <v>2802750.5375999999</v>
      </c>
      <c r="C13" s="1379">
        <f>+B13/$B$11</f>
        <v>0.43440000000000001</v>
      </c>
      <c r="D13" t="s">
        <v>927</v>
      </c>
      <c r="E13" s="216"/>
      <c r="F13" s="216"/>
      <c r="M13" s="1126" t="s">
        <v>911</v>
      </c>
      <c r="N13" s="1127">
        <v>674</v>
      </c>
      <c r="O13" s="1127">
        <v>6608904</v>
      </c>
    </row>
    <row r="14" spans="1:15" ht="14.4" thickBot="1" x14ac:dyDescent="0.35">
      <c r="A14" s="1131" t="s">
        <v>881</v>
      </c>
      <c r="B14" s="1378">
        <v>2793879</v>
      </c>
      <c r="C14" s="1093"/>
      <c r="E14" s="1382"/>
      <c r="F14" s="216"/>
      <c r="M14" s="1128" t="s">
        <v>912</v>
      </c>
      <c r="N14" s="1129">
        <v>259</v>
      </c>
      <c r="O14" s="1129">
        <v>554640</v>
      </c>
    </row>
    <row r="15" spans="1:15" ht="13.8" x14ac:dyDescent="0.3">
      <c r="A15" s="1134" t="s">
        <v>882</v>
      </c>
      <c r="B15" s="1209">
        <f>B42</f>
        <v>5162162424.1007299</v>
      </c>
      <c r="C15" s="1103"/>
      <c r="D15" s="208"/>
      <c r="E15" s="1383"/>
      <c r="F15" s="1384"/>
      <c r="M15" s="225"/>
      <c r="N15" s="1176"/>
      <c r="O15" s="1176"/>
    </row>
    <row r="16" spans="1:15" ht="13.8" x14ac:dyDescent="0.3">
      <c r="A16" s="1131" t="s">
        <v>883</v>
      </c>
      <c r="B16" s="1162"/>
      <c r="C16" s="1103"/>
      <c r="D16" s="1103"/>
      <c r="E16" s="1383"/>
      <c r="F16" s="216"/>
      <c r="M16" s="1093" t="s">
        <v>930</v>
      </c>
      <c r="N16" s="1175">
        <f>1135</f>
        <v>1135</v>
      </c>
      <c r="O16" s="1093"/>
    </row>
    <row r="17" spans="1:15" ht="13.8" x14ac:dyDescent="0.3">
      <c r="A17" s="1131" t="s">
        <v>884</v>
      </c>
      <c r="B17" s="1181"/>
      <c r="C17" s="1103"/>
      <c r="D17" s="1103"/>
      <c r="E17" s="1380"/>
      <c r="F17" s="216"/>
      <c r="M17" s="1093" t="s">
        <v>931</v>
      </c>
      <c r="N17" s="1175">
        <f>+N12*1.1</f>
        <v>1026.3000000000002</v>
      </c>
      <c r="O17" s="1093"/>
    </row>
    <row r="18" spans="1:15" ht="13.8" x14ac:dyDescent="0.3">
      <c r="A18" s="1131" t="s">
        <v>885</v>
      </c>
      <c r="B18" s="1132"/>
      <c r="C18" s="1093"/>
      <c r="D18" s="208"/>
      <c r="E18" s="1385"/>
      <c r="F18" s="216"/>
      <c r="M18" s="1093" t="s">
        <v>932</v>
      </c>
      <c r="N18" s="1175">
        <f>ROUNDUP((O14/4500+N13)*1.1,0)</f>
        <v>877</v>
      </c>
      <c r="O18" s="1093"/>
    </row>
    <row r="19" spans="1:15" ht="14.4" thickBot="1" x14ac:dyDescent="0.35">
      <c r="A19" s="1135" t="s">
        <v>355</v>
      </c>
      <c r="B19" s="1208">
        <f>B15</f>
        <v>5162162424.1007299</v>
      </c>
      <c r="C19" s="1100"/>
      <c r="E19" s="216"/>
      <c r="F19" s="216"/>
      <c r="M19" s="1093" t="s">
        <v>881</v>
      </c>
      <c r="N19" s="1175">
        <v>3848605</v>
      </c>
      <c r="O19" s="1093"/>
    </row>
    <row r="20" spans="1:15" ht="13.8" x14ac:dyDescent="0.3">
      <c r="M20" s="1093" t="s">
        <v>885</v>
      </c>
      <c r="N20" s="1175">
        <v>3083</v>
      </c>
      <c r="O20" s="1177"/>
    </row>
    <row r="21" spans="1:15" ht="14.4" thickBot="1" x14ac:dyDescent="0.35">
      <c r="M21" s="1093" t="s">
        <v>933</v>
      </c>
      <c r="N21" s="1175">
        <f>+SUM(N3:N5)</f>
        <v>4639670454.9924917</v>
      </c>
      <c r="O21" s="1093"/>
    </row>
    <row r="22" spans="1:15" ht="14.4" thickBot="1" x14ac:dyDescent="0.3">
      <c r="A22" s="1095" t="s">
        <v>908</v>
      </c>
      <c r="B22" s="1095" t="s">
        <v>436</v>
      </c>
      <c r="C22" s="1095" t="s">
        <v>909</v>
      </c>
    </row>
    <row r="23" spans="1:15" ht="13.8" x14ac:dyDescent="0.3">
      <c r="A23" s="1124" t="s">
        <v>910</v>
      </c>
      <c r="B23" s="1125">
        <f>+B24+B25</f>
        <v>948</v>
      </c>
      <c r="C23" s="1125">
        <f>+C24+C25</f>
        <v>8198225</v>
      </c>
    </row>
    <row r="24" spans="1:15" ht="13.8" x14ac:dyDescent="0.3">
      <c r="A24" s="1126" t="s">
        <v>911</v>
      </c>
      <c r="B24" s="1127">
        <v>742</v>
      </c>
      <c r="C24" s="1127">
        <v>7760400</v>
      </c>
    </row>
    <row r="25" spans="1:15" ht="14.4" thickBot="1" x14ac:dyDescent="0.35">
      <c r="A25" s="1128" t="s">
        <v>912</v>
      </c>
      <c r="B25" s="1129">
        <v>206</v>
      </c>
      <c r="C25" s="1129">
        <v>437825</v>
      </c>
    </row>
    <row r="29" spans="1:15" x14ac:dyDescent="0.25">
      <c r="A29" s="799" t="s">
        <v>964</v>
      </c>
    </row>
    <row r="30" spans="1:15" ht="13.8" x14ac:dyDescent="0.3">
      <c r="A30" s="1131" t="s">
        <v>881</v>
      </c>
      <c r="B30" s="1133">
        <v>3848605</v>
      </c>
    </row>
    <row r="31" spans="1:15" ht="13.8" x14ac:dyDescent="0.3">
      <c r="A31" s="1134" t="s">
        <v>882</v>
      </c>
      <c r="B31" s="1242">
        <v>3173296442.1599998</v>
      </c>
    </row>
    <row r="32" spans="1:15" ht="13.8" x14ac:dyDescent="0.3">
      <c r="A32" s="1131" t="s">
        <v>883</v>
      </c>
      <c r="B32" s="1162">
        <v>732839237.57033408</v>
      </c>
      <c r="D32" s="1123">
        <f>B41*30%</f>
        <v>838163.7</v>
      </c>
      <c r="E32" s="1123">
        <f>D32*D35</f>
        <v>1010444915.8425987</v>
      </c>
      <c r="F32" s="208">
        <v>2088804213.59515</v>
      </c>
    </row>
    <row r="33" spans="1:11" ht="13.8" x14ac:dyDescent="0.3">
      <c r="A33" s="1131" t="s">
        <v>884</v>
      </c>
      <c r="B33" s="1162">
        <v>733534775.26122069</v>
      </c>
      <c r="D33" s="1225" t="s">
        <v>966</v>
      </c>
      <c r="E33" s="208"/>
    </row>
    <row r="34" spans="1:11" ht="13.8" x14ac:dyDescent="0.3">
      <c r="A34" s="1131" t="s">
        <v>885</v>
      </c>
      <c r="B34" s="1132">
        <v>3001</v>
      </c>
      <c r="C34" s="223"/>
      <c r="D34" s="1100">
        <f>B37*30%</f>
        <v>1721681410.9245</v>
      </c>
      <c r="E34" s="1100">
        <f>D34*2</f>
        <v>3443362821.849</v>
      </c>
      <c r="F34" s="1100">
        <f>D34*2</f>
        <v>3443362821.849</v>
      </c>
    </row>
    <row r="35" spans="1:11" ht="14.4" thickBot="1" x14ac:dyDescent="0.35">
      <c r="A35" s="1135" t="s">
        <v>355</v>
      </c>
      <c r="B35" s="1243">
        <f>B31+B32+B33</f>
        <v>4639670454.9915543</v>
      </c>
      <c r="D35" s="208">
        <f>B35/B30</f>
        <v>1205.5460238168257</v>
      </c>
      <c r="E35" s="1121">
        <f>B35-D34+E34</f>
        <v>6361351865.9160538</v>
      </c>
      <c r="G35" s="208">
        <v>1721681410.9245</v>
      </c>
    </row>
    <row r="36" spans="1:11" x14ac:dyDescent="0.25">
      <c r="E36">
        <f>E35/B14</f>
        <v>2276.8888222847354</v>
      </c>
      <c r="F36" s="1123"/>
      <c r="G36" s="208">
        <v>2582522116.3867502</v>
      </c>
    </row>
    <row r="37" spans="1:11" ht="13.8" x14ac:dyDescent="0.3">
      <c r="A37" s="1244" t="s">
        <v>967</v>
      </c>
      <c r="B37" s="1209">
        <v>5738938036.415</v>
      </c>
      <c r="D37" s="1121">
        <f>B37-D34+E34</f>
        <v>7460619447.3395004</v>
      </c>
      <c r="E37" s="208">
        <v>6599778741.8772507</v>
      </c>
    </row>
    <row r="38" spans="1:11" ht="13.8" x14ac:dyDescent="0.3">
      <c r="A38" s="1244" t="s">
        <v>968</v>
      </c>
      <c r="B38" s="1180">
        <v>3106043</v>
      </c>
    </row>
    <row r="39" spans="1:11" ht="13.8" x14ac:dyDescent="0.3">
      <c r="A39" s="1244" t="s">
        <v>969</v>
      </c>
      <c r="B39" s="208">
        <f>B37/B38</f>
        <v>1847.6685726549827</v>
      </c>
      <c r="D39">
        <f>D37/B38</f>
        <v>2401.9691444514774</v>
      </c>
    </row>
    <row r="40" spans="1:11" x14ac:dyDescent="0.25">
      <c r="G40" s="1611" t="s">
        <v>999</v>
      </c>
      <c r="H40" s="1611"/>
    </row>
    <row r="41" spans="1:11" ht="13.8" x14ac:dyDescent="0.3">
      <c r="A41" s="1244" t="s">
        <v>988</v>
      </c>
      <c r="B41" s="1180">
        <v>2793879</v>
      </c>
      <c r="D41">
        <f>B41*B39</f>
        <v>5162162424.1007299</v>
      </c>
      <c r="E41" s="1123">
        <f>B41*20%</f>
        <v>558775.80000000005</v>
      </c>
      <c r="G41" s="1244" t="s">
        <v>967</v>
      </c>
      <c r="H41" s="1209">
        <v>5738938036.415</v>
      </c>
      <c r="J41" s="615"/>
      <c r="K41" s="1385"/>
    </row>
    <row r="42" spans="1:11" ht="13.8" x14ac:dyDescent="0.3">
      <c r="A42" s="1244" t="s">
        <v>970</v>
      </c>
      <c r="B42" s="1123">
        <f>B39*B41</f>
        <v>5162162424.1007299</v>
      </c>
      <c r="D42" s="1123">
        <f>H51</f>
        <v>6886725643.698</v>
      </c>
      <c r="E42">
        <f>E41*B39</f>
        <v>1032432484.8201461</v>
      </c>
      <c r="G42" s="1244" t="s">
        <v>1000</v>
      </c>
      <c r="H42" s="1180">
        <v>3106043</v>
      </c>
      <c r="J42" s="1387"/>
      <c r="K42" s="1382"/>
    </row>
    <row r="43" spans="1:11" ht="13.8" x14ac:dyDescent="0.3">
      <c r="E43">
        <f>D41+E42</f>
        <v>6194594908.9208755</v>
      </c>
      <c r="G43" s="1244" t="s">
        <v>1002</v>
      </c>
      <c r="H43" s="395">
        <f>H41/H42</f>
        <v>1847.6685726549827</v>
      </c>
      <c r="J43" s="1244"/>
      <c r="K43" s="1388"/>
    </row>
    <row r="44" spans="1:11" x14ac:dyDescent="0.25">
      <c r="B44">
        <v>4100000</v>
      </c>
    </row>
    <row r="45" spans="1:11" ht="13.8" x14ac:dyDescent="0.3">
      <c r="B45">
        <f>B39*B44</f>
        <v>7575441147.8854284</v>
      </c>
      <c r="G45" s="1244" t="s">
        <v>988</v>
      </c>
      <c r="H45" s="1180">
        <v>2793879</v>
      </c>
    </row>
    <row r="46" spans="1:11" ht="13.8" x14ac:dyDescent="0.3">
      <c r="G46" s="1244" t="s">
        <v>1001</v>
      </c>
      <c r="H46" s="1386">
        <f>H45*0.2</f>
        <v>558775.80000000005</v>
      </c>
    </row>
    <row r="47" spans="1:11" ht="13.8" x14ac:dyDescent="0.3">
      <c r="G47" s="1244" t="s">
        <v>1003</v>
      </c>
      <c r="H47" s="1123">
        <f>H45-H46</f>
        <v>2235103.2000000002</v>
      </c>
    </row>
    <row r="48" spans="1:11" s="799" customFormat="1" ht="13.8" x14ac:dyDescent="0.3">
      <c r="G48" s="1244"/>
      <c r="H48" s="1123"/>
    </row>
    <row r="49" spans="1:9" ht="13.8" x14ac:dyDescent="0.3">
      <c r="A49" s="223" t="s">
        <v>982</v>
      </c>
      <c r="B49" s="1123">
        <f>D32</f>
        <v>838163.7</v>
      </c>
      <c r="G49" s="1244" t="s">
        <v>1004</v>
      </c>
      <c r="H49" s="1121">
        <f>H41*0.8</f>
        <v>4591150429.132</v>
      </c>
    </row>
    <row r="50" spans="1:9" s="799" customFormat="1" ht="13.8" x14ac:dyDescent="0.3">
      <c r="A50" s="223" t="s">
        <v>984</v>
      </c>
      <c r="B50" s="1123">
        <f>B51-B49</f>
        <v>1955715.3</v>
      </c>
      <c r="G50" s="1244" t="s">
        <v>1005</v>
      </c>
      <c r="H50" s="1121">
        <f>H41*0.2</f>
        <v>1147787607.283</v>
      </c>
      <c r="I50" s="1121">
        <f>H50*2</f>
        <v>2295575214.566</v>
      </c>
    </row>
    <row r="51" spans="1:9" x14ac:dyDescent="0.25">
      <c r="A51" s="223" t="s">
        <v>983</v>
      </c>
      <c r="B51" s="67">
        <f>B41</f>
        <v>2793879</v>
      </c>
      <c r="H51" s="1121">
        <f>H49+I50</f>
        <v>6886725643.698</v>
      </c>
    </row>
    <row r="54" spans="1:9" x14ac:dyDescent="0.25">
      <c r="A54" s="223" t="s">
        <v>985</v>
      </c>
    </row>
    <row r="62" spans="1:9" x14ac:dyDescent="0.25">
      <c r="A62" s="799"/>
      <c r="B62" s="799"/>
      <c r="C62" s="799"/>
      <c r="D62" s="799"/>
      <c r="E62" s="799"/>
      <c r="F62" s="799"/>
      <c r="G62" s="799"/>
      <c r="H62" s="799"/>
    </row>
    <row r="63" spans="1:9" x14ac:dyDescent="0.25">
      <c r="A63" s="799" t="s">
        <v>964</v>
      </c>
      <c r="B63" s="799"/>
      <c r="C63" s="799"/>
      <c r="D63" s="799"/>
      <c r="E63" s="799"/>
      <c r="F63" s="799"/>
      <c r="G63" s="799"/>
      <c r="H63" s="799"/>
    </row>
    <row r="64" spans="1:9" ht="13.8" x14ac:dyDescent="0.3">
      <c r="A64" s="1131" t="s">
        <v>881</v>
      </c>
      <c r="B64" s="1133">
        <v>3848605</v>
      </c>
      <c r="C64" s="799"/>
      <c r="D64" s="799"/>
      <c r="E64" s="799"/>
      <c r="F64" s="799"/>
      <c r="G64" s="799"/>
      <c r="H64" s="799"/>
    </row>
    <row r="65" spans="1:8" ht="13.8" x14ac:dyDescent="0.3">
      <c r="A65" s="1134" t="s">
        <v>882</v>
      </c>
      <c r="B65" s="1242">
        <v>3173296442.1599998</v>
      </c>
      <c r="C65" s="799"/>
      <c r="D65" s="799"/>
      <c r="E65" s="799"/>
      <c r="F65" s="799"/>
      <c r="G65" s="799"/>
      <c r="H65" s="799"/>
    </row>
    <row r="66" spans="1:8" ht="13.8" x14ac:dyDescent="0.3">
      <c r="A66" s="1131" t="s">
        <v>883</v>
      </c>
      <c r="B66" s="1162">
        <v>732839237.57033408</v>
      </c>
      <c r="C66" s="799"/>
      <c r="D66" s="1123">
        <f>B75*28%</f>
        <v>840861.84000000008</v>
      </c>
      <c r="E66" s="1123">
        <f>D66*B73</f>
        <v>1553633995.7128425</v>
      </c>
      <c r="F66" s="208">
        <v>2088804213.59515</v>
      </c>
      <c r="G66" s="799"/>
      <c r="H66" s="799"/>
    </row>
    <row r="67" spans="1:8" ht="13.8" x14ac:dyDescent="0.3">
      <c r="A67" s="1131" t="s">
        <v>884</v>
      </c>
      <c r="B67" s="1162">
        <v>733534775.26122069</v>
      </c>
      <c r="C67" s="799"/>
      <c r="D67" s="1246" t="s">
        <v>966</v>
      </c>
      <c r="E67" s="208"/>
      <c r="F67" s="799"/>
      <c r="G67" s="799"/>
      <c r="H67" s="799"/>
    </row>
    <row r="68" spans="1:8" ht="13.8" x14ac:dyDescent="0.3">
      <c r="A68" s="1131" t="s">
        <v>885</v>
      </c>
      <c r="B68" s="1132">
        <v>3001</v>
      </c>
      <c r="C68" s="223"/>
      <c r="D68" s="1100">
        <f>B71*20%</f>
        <v>1147787607.283</v>
      </c>
      <c r="E68" s="1100">
        <f>D68*2</f>
        <v>2295575214.566</v>
      </c>
      <c r="F68" s="799"/>
      <c r="G68" s="799"/>
      <c r="H68" s="799"/>
    </row>
    <row r="69" spans="1:8" ht="14.4" thickBot="1" x14ac:dyDescent="0.35">
      <c r="A69" s="1135" t="s">
        <v>355</v>
      </c>
      <c r="B69" s="1243">
        <f>B65+B66+B67</f>
        <v>4639670454.9915543</v>
      </c>
      <c r="C69" s="799"/>
      <c r="D69" s="208">
        <f>B69/B64</f>
        <v>1205.5460238168257</v>
      </c>
      <c r="E69" s="1121">
        <f>B69-D68+E68</f>
        <v>5787458062.2745543</v>
      </c>
      <c r="F69" s="799"/>
      <c r="G69" s="208">
        <v>1721681410.9245</v>
      </c>
      <c r="H69" s="799"/>
    </row>
    <row r="70" spans="1:8" x14ac:dyDescent="0.25">
      <c r="A70" s="799"/>
      <c r="B70" s="799"/>
      <c r="C70" s="799"/>
      <c r="D70" s="799"/>
      <c r="E70" s="799" t="e">
        <f>E69/B48</f>
        <v>#DIV/0!</v>
      </c>
      <c r="F70" s="1123"/>
      <c r="G70" s="208">
        <v>2582522116.3867502</v>
      </c>
      <c r="H70" s="799"/>
    </row>
    <row r="71" spans="1:8" ht="13.8" x14ac:dyDescent="0.3">
      <c r="A71" s="1244" t="s">
        <v>967</v>
      </c>
      <c r="B71" s="1209">
        <v>5738938036.415</v>
      </c>
      <c r="C71" s="799"/>
      <c r="D71" s="1121">
        <f>B71-D68+E68</f>
        <v>6886725643.698</v>
      </c>
      <c r="E71" s="208">
        <v>6599778741.8772497</v>
      </c>
      <c r="F71" s="799"/>
      <c r="G71" s="799"/>
      <c r="H71" s="799"/>
    </row>
    <row r="72" spans="1:8" ht="13.8" x14ac:dyDescent="0.3">
      <c r="A72" s="1244" t="s">
        <v>968</v>
      </c>
      <c r="B72" s="1180">
        <v>3106043</v>
      </c>
      <c r="C72" s="799"/>
      <c r="D72" s="799"/>
      <c r="E72" s="799"/>
      <c r="F72" s="799"/>
      <c r="G72" s="799"/>
      <c r="H72" s="799"/>
    </row>
    <row r="73" spans="1:8" ht="13.8" x14ac:dyDescent="0.3">
      <c r="A73" s="1244" t="s">
        <v>969</v>
      </c>
      <c r="B73" s="799">
        <f>B71/B72</f>
        <v>1847.6685726549827</v>
      </c>
      <c r="C73" s="799"/>
      <c r="D73" s="799">
        <f>D71/B72</f>
        <v>2217.202287185979</v>
      </c>
      <c r="E73" s="799"/>
      <c r="F73" s="799"/>
      <c r="G73" s="799"/>
      <c r="H73" s="799"/>
    </row>
    <row r="74" spans="1:8" x14ac:dyDescent="0.25">
      <c r="A74" s="799"/>
      <c r="B74" s="799"/>
      <c r="C74" s="799"/>
      <c r="D74" s="799"/>
      <c r="E74" s="799"/>
      <c r="F74" s="799"/>
      <c r="G74" s="799"/>
      <c r="H74" s="799"/>
    </row>
    <row r="75" spans="1:8" ht="13.8" x14ac:dyDescent="0.3">
      <c r="A75" s="1244" t="s">
        <v>980</v>
      </c>
      <c r="B75" s="1180">
        <v>3003078</v>
      </c>
      <c r="C75" s="799"/>
      <c r="D75" s="799"/>
      <c r="E75" s="799"/>
      <c r="F75" s="799"/>
      <c r="G75" s="799"/>
      <c r="H75" s="799"/>
    </row>
    <row r="76" spans="1:8" ht="13.8" x14ac:dyDescent="0.3">
      <c r="A76" s="1244" t="s">
        <v>970</v>
      </c>
      <c r="B76" s="1123">
        <f>B73*B75</f>
        <v>5548692841.8315802</v>
      </c>
      <c r="C76" s="799"/>
      <c r="D76" s="1123">
        <f>D73*B75</f>
        <v>6658431410.1978951</v>
      </c>
      <c r="E76" s="799"/>
      <c r="F76" s="799"/>
      <c r="G76" s="799"/>
      <c r="H76" s="799"/>
    </row>
    <row r="77" spans="1:8" x14ac:dyDescent="0.25">
      <c r="A77" s="799"/>
      <c r="B77" s="799"/>
      <c r="C77" s="799"/>
      <c r="D77" s="799"/>
      <c r="E77" s="799"/>
      <c r="F77" s="799"/>
      <c r="G77" s="799"/>
      <c r="H77" s="799"/>
    </row>
    <row r="78" spans="1:8" x14ac:dyDescent="0.25">
      <c r="A78" s="799"/>
      <c r="B78" s="799">
        <v>4100000</v>
      </c>
      <c r="C78" s="799"/>
      <c r="D78" s="799"/>
      <c r="E78" s="799"/>
      <c r="F78" s="799"/>
      <c r="G78" s="799"/>
      <c r="H78" s="799"/>
    </row>
    <row r="79" spans="1:8" x14ac:dyDescent="0.25">
      <c r="A79" s="799"/>
      <c r="B79" s="799">
        <f>B73*B78</f>
        <v>7575441147.8854284</v>
      </c>
      <c r="C79" s="799"/>
      <c r="D79" s="799"/>
      <c r="E79" s="799"/>
      <c r="F79" s="799"/>
      <c r="G79" s="799"/>
      <c r="H79" s="799"/>
    </row>
    <row r="80" spans="1:8" x14ac:dyDescent="0.25">
      <c r="A80" s="799"/>
      <c r="B80" s="799"/>
      <c r="C80" s="799"/>
      <c r="D80" s="799"/>
      <c r="E80" s="799"/>
      <c r="F80" s="799"/>
      <c r="G80" s="799"/>
      <c r="H80" s="799"/>
    </row>
    <row r="81" spans="1:8" x14ac:dyDescent="0.25">
      <c r="A81" s="799"/>
      <c r="B81" s="799"/>
      <c r="C81" s="799"/>
      <c r="D81" s="799"/>
      <c r="E81" s="799"/>
      <c r="F81" s="799"/>
      <c r="G81" s="799"/>
      <c r="H81" s="799"/>
    </row>
    <row r="82" spans="1:8" x14ac:dyDescent="0.25">
      <c r="A82" s="223" t="s">
        <v>982</v>
      </c>
      <c r="B82" s="1123">
        <f>D66</f>
        <v>840861.84000000008</v>
      </c>
      <c r="C82" s="799"/>
      <c r="D82" s="799"/>
      <c r="E82" s="799"/>
      <c r="F82" s="799"/>
      <c r="G82" s="799"/>
      <c r="H82" s="799"/>
    </row>
    <row r="83" spans="1:8" x14ac:dyDescent="0.25">
      <c r="A83" s="223" t="s">
        <v>984</v>
      </c>
      <c r="B83" s="1123">
        <f>B84-B82</f>
        <v>2162216.16</v>
      </c>
      <c r="C83" s="799"/>
      <c r="D83" s="799"/>
      <c r="E83" s="799"/>
      <c r="F83" s="799"/>
      <c r="G83" s="799"/>
      <c r="H83" s="799"/>
    </row>
    <row r="84" spans="1:8" x14ac:dyDescent="0.25">
      <c r="A84" s="223" t="s">
        <v>983</v>
      </c>
      <c r="B84" s="67">
        <f>B75</f>
        <v>3003078</v>
      </c>
      <c r="C84" s="799"/>
      <c r="D84" s="799"/>
      <c r="E84" s="799"/>
      <c r="F84" s="799"/>
      <c r="G84" s="799"/>
      <c r="H84" s="799"/>
    </row>
  </sheetData>
  <mergeCells count="1">
    <mergeCell ref="G40:H40"/>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D77"/>
  <sheetViews>
    <sheetView showGridLines="0" view="pageBreakPreview" topLeftCell="A19" zoomScale="90" zoomScaleNormal="90" zoomScaleSheetLayoutView="90" workbookViewId="0">
      <selection activeCell="L62" sqref="L62"/>
    </sheetView>
  </sheetViews>
  <sheetFormatPr baseColWidth="10" defaultColWidth="11.44140625" defaultRowHeight="13.2" x14ac:dyDescent="0.25"/>
  <cols>
    <col min="1" max="1" width="4.5546875" style="30" customWidth="1"/>
    <col min="2" max="6" width="11.44140625" style="30"/>
    <col min="7" max="7" width="8.6640625" style="97" customWidth="1"/>
    <col min="8" max="8" width="21.109375" style="97" hidden="1" customWidth="1"/>
    <col min="9" max="9" width="8.6640625" style="97" hidden="1" customWidth="1"/>
    <col min="10" max="10" width="24" style="436" customWidth="1"/>
    <col min="11" max="11" width="12.44140625" style="30" customWidth="1"/>
    <col min="12" max="12" width="24.109375" style="30" customWidth="1"/>
    <col min="13" max="13" width="17.44140625" style="205" hidden="1" customWidth="1"/>
    <col min="14" max="14" width="22.33203125" style="30" customWidth="1"/>
    <col min="15" max="15" width="13.109375" style="30" hidden="1" customWidth="1"/>
    <col min="16" max="16" width="3" style="30" hidden="1" customWidth="1"/>
    <col min="17" max="17" width="12.44140625" style="30" hidden="1" customWidth="1"/>
    <col min="18" max="18" width="6.6640625" style="30" hidden="1" customWidth="1"/>
    <col min="19" max="19" width="11.44140625" style="30" hidden="1" customWidth="1"/>
    <col min="20" max="20" width="7.6640625" style="30" hidden="1" customWidth="1"/>
    <col min="21" max="21" width="7.44140625" style="30" hidden="1" customWidth="1"/>
    <col min="22" max="22" width="14.5546875" style="30" hidden="1" customWidth="1"/>
    <col min="23" max="23" width="12.44140625" style="30" hidden="1" customWidth="1"/>
    <col min="24" max="24" width="5.109375" style="30" hidden="1" customWidth="1"/>
    <col min="25" max="25" width="5.5546875" style="30" hidden="1" customWidth="1"/>
    <col min="26" max="26" width="11.88671875" style="30" hidden="1" customWidth="1"/>
    <col min="27" max="27" width="10" style="30" hidden="1" customWidth="1"/>
    <col min="28" max="28" width="8" style="461" hidden="1" customWidth="1"/>
    <col min="29" max="29" width="4.88671875" style="30" hidden="1" customWidth="1"/>
    <col min="30" max="30" width="8.33203125" style="30" customWidth="1"/>
    <col min="31" max="16384" width="11.44140625" style="30"/>
  </cols>
  <sheetData>
    <row r="1" spans="1:30" ht="27" customHeight="1" thickBot="1" x14ac:dyDescent="0.3">
      <c r="B1" s="1428" t="s">
        <v>981</v>
      </c>
      <c r="C1" s="1428"/>
      <c r="D1" s="1428"/>
      <c r="E1" s="1428"/>
      <c r="F1" s="1428"/>
      <c r="G1" s="21"/>
      <c r="H1" s="1429"/>
      <c r="I1" s="1430"/>
      <c r="J1" s="1431"/>
      <c r="L1" s="795"/>
      <c r="M1" s="795"/>
      <c r="N1" s="205"/>
      <c r="AB1" s="30"/>
      <c r="AC1" s="461"/>
    </row>
    <row r="2" spans="1:30" ht="43.5" customHeight="1" thickBot="1" x14ac:dyDescent="0.3">
      <c r="B2" s="21"/>
      <c r="C2" s="21"/>
      <c r="D2" s="21"/>
      <c r="E2" s="21"/>
      <c r="F2" s="485"/>
      <c r="G2" s="68"/>
      <c r="H2" s="400"/>
      <c r="I2" s="475"/>
      <c r="J2" s="400" t="s">
        <v>977</v>
      </c>
      <c r="K2" s="794"/>
      <c r="L2" s="400" t="s">
        <v>978</v>
      </c>
      <c r="M2" s="400"/>
      <c r="N2" s="796" t="s">
        <v>712</v>
      </c>
      <c r="O2" s="474"/>
      <c r="P2" s="474"/>
      <c r="Q2" s="474"/>
      <c r="R2" s="474"/>
      <c r="S2" s="474"/>
      <c r="T2" s="474"/>
      <c r="U2" s="474"/>
      <c r="V2" s="474"/>
      <c r="W2" s="475" t="s">
        <v>472</v>
      </c>
      <c r="X2" s="476"/>
      <c r="Y2" s="476"/>
      <c r="Z2" s="476"/>
      <c r="AA2" s="475" t="s">
        <v>473</v>
      </c>
      <c r="AB2" s="474"/>
      <c r="AC2" s="477" t="s">
        <v>706</v>
      </c>
    </row>
    <row r="3" spans="1:30" ht="45.75" customHeight="1" x14ac:dyDescent="0.25">
      <c r="B3" s="99"/>
      <c r="G3" s="68"/>
      <c r="H3" s="192"/>
      <c r="I3" s="68"/>
      <c r="J3" s="192"/>
      <c r="L3" s="192"/>
      <c r="M3" s="192"/>
      <c r="N3" s="205"/>
      <c r="P3" s="30">
        <f>SUM(P6:P12)</f>
        <v>0.53211530615852987</v>
      </c>
      <c r="R3" s="30">
        <f>+J4/P3-1</f>
        <v>2434.9802951143888</v>
      </c>
      <c r="W3" s="30">
        <f>SUM(W6:W12)</f>
        <v>17.20600242767452</v>
      </c>
      <c r="AA3" s="30">
        <v>17.136377516610118</v>
      </c>
      <c r="AB3" s="30">
        <f>+AA3-W3</f>
        <v>-6.9624911064401829E-2</v>
      </c>
    </row>
    <row r="4" spans="1:30" x14ac:dyDescent="0.25">
      <c r="B4" s="94" t="s">
        <v>1</v>
      </c>
      <c r="C4" s="95"/>
      <c r="D4" s="95"/>
      <c r="E4" s="95"/>
      <c r="F4" s="95"/>
      <c r="G4" s="68"/>
      <c r="H4" s="386">
        <f>M4</f>
        <v>1296.222400530939</v>
      </c>
      <c r="I4" s="68"/>
      <c r="J4" s="386">
        <f>J6+J7+J8+J9+J10+J11+J12</f>
        <v>1296.222400530939</v>
      </c>
      <c r="K4" s="1335">
        <f>J4/L4-1</f>
        <v>1.54967535753411</v>
      </c>
      <c r="L4" s="386">
        <v>508.38723318272406</v>
      </c>
      <c r="M4" s="386">
        <f>SUM(M6:M12)</f>
        <v>1296.222400530939</v>
      </c>
      <c r="N4" s="490">
        <f>J4/J$39</f>
        <v>0.53211530615852987</v>
      </c>
      <c r="O4" s="488">
        <f>K4/K39</f>
        <v>1.7118943603827779</v>
      </c>
      <c r="P4" s="488">
        <f t="shared" ref="P4:AC4" si="0">N4/N39</f>
        <v>6.8926853129343247E-4</v>
      </c>
      <c r="Q4" s="488" t="e">
        <f t="shared" si="0"/>
        <v>#DIV/0!</v>
      </c>
      <c r="R4" s="488" t="e">
        <f t="shared" si="0"/>
        <v>#DIV/0!</v>
      </c>
      <c r="S4" s="488" t="e">
        <f t="shared" si="0"/>
        <v>#DIV/0!</v>
      </c>
      <c r="T4" s="488" t="e">
        <f t="shared" si="0"/>
        <v>#DIV/0!</v>
      </c>
      <c r="U4" s="488" t="e">
        <f t="shared" si="0"/>
        <v>#DIV/0!</v>
      </c>
      <c r="V4" s="488" t="e">
        <f t="shared" si="0"/>
        <v>#DIV/0!</v>
      </c>
      <c r="W4" s="488" t="e">
        <f t="shared" si="0"/>
        <v>#DIV/0!</v>
      </c>
      <c r="X4" s="488" t="e">
        <f t="shared" si="0"/>
        <v>#DIV/0!</v>
      </c>
      <c r="Y4" s="488" t="e">
        <f t="shared" si="0"/>
        <v>#DIV/0!</v>
      </c>
      <c r="Z4" s="488" t="e">
        <f t="shared" si="0"/>
        <v>#DIV/0!</v>
      </c>
      <c r="AA4" s="488" t="e">
        <f t="shared" si="0"/>
        <v>#DIV/0!</v>
      </c>
      <c r="AB4" s="488" t="e">
        <f t="shared" si="0"/>
        <v>#DIV/0!</v>
      </c>
      <c r="AC4" s="488" t="e">
        <f t="shared" si="0"/>
        <v>#DIV/0!</v>
      </c>
      <c r="AD4" s="488"/>
    </row>
    <row r="5" spans="1:30" x14ac:dyDescent="0.25">
      <c r="G5" s="68"/>
      <c r="H5" s="420">
        <f t="shared" ref="H5:H38" si="1">M5</f>
        <v>0</v>
      </c>
      <c r="I5" s="68"/>
      <c r="J5" s="420"/>
      <c r="K5" s="1163"/>
      <c r="L5" s="420"/>
      <c r="M5" s="420"/>
      <c r="N5" s="205"/>
      <c r="P5" s="97"/>
      <c r="R5" s="205"/>
      <c r="W5" s="97"/>
      <c r="AA5" s="97"/>
      <c r="AB5" s="30"/>
      <c r="AC5" s="461"/>
    </row>
    <row r="6" spans="1:30" x14ac:dyDescent="0.25">
      <c r="A6" s="91" t="s">
        <v>466</v>
      </c>
      <c r="B6" s="30" t="s">
        <v>3</v>
      </c>
      <c r="G6" s="68"/>
      <c r="H6" s="421">
        <f t="shared" si="1"/>
        <v>651.09732684301537</v>
      </c>
      <c r="I6" s="68"/>
      <c r="J6" s="421">
        <f>' ERSEP '!N3</f>
        <v>651.09732684301537</v>
      </c>
      <c r="K6" s="205"/>
      <c r="L6" s="421">
        <v>228.33241901692639</v>
      </c>
      <c r="M6" s="421">
        <f>' ERSEP '!N3</f>
        <v>651.09732684301537</v>
      </c>
      <c r="N6" s="301">
        <f t="shared" ref="N6:N12" si="2">J6/J$39</f>
        <v>0.26728349492352571</v>
      </c>
      <c r="P6" s="125">
        <f t="shared" ref="P6:P12" si="3">+N6</f>
        <v>0.26728349492352571</v>
      </c>
      <c r="Q6" s="73"/>
      <c r="R6" s="301">
        <f t="shared" ref="R6:R12" si="4">+J6/P6-1</f>
        <v>2434.9802951143888</v>
      </c>
      <c r="W6" s="125">
        <v>8.0890987674434811</v>
      </c>
      <c r="X6" s="73">
        <f t="shared" ref="X6:X12" si="5">+W6-J6</f>
        <v>-643.00822807557188</v>
      </c>
      <c r="AA6" s="125">
        <v>8.0552772043753897</v>
      </c>
      <c r="AB6" s="73">
        <f>+AA6-W6</f>
        <v>-3.3821563068091365E-2</v>
      </c>
      <c r="AC6" s="461" t="e">
        <f>+J6/#REF!-1</f>
        <v>#REF!</v>
      </c>
      <c r="AD6" s="73"/>
    </row>
    <row r="7" spans="1:30" x14ac:dyDescent="0.25">
      <c r="A7" s="91" t="s">
        <v>8</v>
      </c>
      <c r="B7" s="30" t="s">
        <v>9</v>
      </c>
      <c r="G7" s="68"/>
      <c r="H7" s="421">
        <f t="shared" si="1"/>
        <v>17.747240326970953</v>
      </c>
      <c r="I7" s="68"/>
      <c r="J7" s="421">
        <f>' ERSEP '!N62</f>
        <v>17.747240326970953</v>
      </c>
      <c r="K7" s="205"/>
      <c r="L7" s="421">
        <v>7.6365986480608825</v>
      </c>
      <c r="M7" s="421">
        <f>' ERSEP '!N62</f>
        <v>17.747240326970953</v>
      </c>
      <c r="N7" s="301">
        <f t="shared" si="2"/>
        <v>7.285461365416167E-3</v>
      </c>
      <c r="P7" s="125">
        <f t="shared" si="3"/>
        <v>7.285461365416167E-3</v>
      </c>
      <c r="Q7" s="73"/>
      <c r="R7" s="301">
        <f t="shared" si="4"/>
        <v>2434.9802951143888</v>
      </c>
      <c r="W7" s="125">
        <v>0.26201873024529004</v>
      </c>
      <c r="X7" s="73">
        <f t="shared" si="5"/>
        <v>-17.485221596725662</v>
      </c>
      <c r="AA7" s="125">
        <v>0.26201873024529004</v>
      </c>
      <c r="AB7" s="73">
        <f t="shared" ref="AB7:AB12" si="6">+AA7-W7</f>
        <v>0</v>
      </c>
      <c r="AC7" s="461" t="e">
        <f>+J7/#REF!-1</f>
        <v>#REF!</v>
      </c>
      <c r="AD7" s="73"/>
    </row>
    <row r="8" spans="1:30" x14ac:dyDescent="0.25">
      <c r="A8" s="91" t="s">
        <v>14</v>
      </c>
      <c r="B8" s="30" t="s">
        <v>155</v>
      </c>
      <c r="G8" s="68"/>
      <c r="H8" s="421">
        <f t="shared" si="1"/>
        <v>232.35844153260595</v>
      </c>
      <c r="I8" s="68"/>
      <c r="J8" s="421">
        <f>' ERSEP '!N100</f>
        <v>232.35844153260595</v>
      </c>
      <c r="K8" s="205"/>
      <c r="L8" s="421">
        <v>101.46667759594453</v>
      </c>
      <c r="M8" s="421">
        <f>' ERSEP '!N100</f>
        <v>232.35844153260595</v>
      </c>
      <c r="N8" s="301">
        <f t="shared" si="2"/>
        <v>9.5386010305019669E-2</v>
      </c>
      <c r="P8" s="125">
        <f t="shared" si="3"/>
        <v>9.5386010305019669E-2</v>
      </c>
      <c r="Q8" s="73"/>
      <c r="R8" s="301">
        <f t="shared" si="4"/>
        <v>2434.9802951143888</v>
      </c>
      <c r="W8" s="125">
        <v>3.5909805240061714</v>
      </c>
      <c r="X8" s="73">
        <f t="shared" si="5"/>
        <v>-228.76746100859978</v>
      </c>
      <c r="AA8" s="125">
        <v>3.5764372518868921</v>
      </c>
      <c r="AB8" s="73">
        <f t="shared" si="6"/>
        <v>-1.4543272119279305E-2</v>
      </c>
      <c r="AC8" s="461" t="e">
        <f>+J8/#REF!-1</f>
        <v>#REF!</v>
      </c>
      <c r="AD8" s="73"/>
    </row>
    <row r="9" spans="1:30" x14ac:dyDescent="0.25">
      <c r="A9" s="91" t="s">
        <v>19</v>
      </c>
      <c r="B9" s="30" t="s">
        <v>20</v>
      </c>
      <c r="G9" s="68"/>
      <c r="H9" s="421">
        <f t="shared" si="1"/>
        <v>273.25555362410211</v>
      </c>
      <c r="I9" s="68"/>
      <c r="J9" s="421">
        <f>' ERSEP '!N113</f>
        <v>273.25555362410211</v>
      </c>
      <c r="K9" s="205"/>
      <c r="L9" s="421">
        <v>119.325697736647</v>
      </c>
      <c r="M9" s="421">
        <f>' ERSEP '!N113</f>
        <v>273.25555362410211</v>
      </c>
      <c r="N9" s="301">
        <f t="shared" si="2"/>
        <v>0.11217477997344415</v>
      </c>
      <c r="P9" s="125">
        <f t="shared" si="3"/>
        <v>0.11217477997344415</v>
      </c>
      <c r="Q9" s="73"/>
      <c r="R9" s="301">
        <f t="shared" si="4"/>
        <v>2434.9802951143888</v>
      </c>
      <c r="W9" s="125">
        <v>3.2278495777806286</v>
      </c>
      <c r="X9" s="73">
        <f t="shared" si="5"/>
        <v>-270.0277040463215</v>
      </c>
      <c r="AA9" s="125">
        <v>3.2147769658697753</v>
      </c>
      <c r="AB9" s="73">
        <f t="shared" si="6"/>
        <v>-1.3072611910853293E-2</v>
      </c>
      <c r="AC9" s="461" t="e">
        <f>+J9/#REF!-1</f>
        <v>#REF!</v>
      </c>
      <c r="AD9" s="73"/>
    </row>
    <row r="10" spans="1:30" x14ac:dyDescent="0.25">
      <c r="A10" s="91" t="s">
        <v>35</v>
      </c>
      <c r="B10" s="30" t="s">
        <v>36</v>
      </c>
      <c r="G10" s="68"/>
      <c r="H10" s="421">
        <f t="shared" si="1"/>
        <v>22.430714176262569</v>
      </c>
      <c r="I10" s="68"/>
      <c r="J10" s="421">
        <f>' ERSEP '!N134</f>
        <v>22.430714176262569</v>
      </c>
      <c r="K10" s="205"/>
      <c r="L10" s="421">
        <v>8.101512329369589</v>
      </c>
      <c r="M10" s="421">
        <f>' ERSEP '!N134</f>
        <v>22.430714176262569</v>
      </c>
      <c r="N10" s="301">
        <f t="shared" si="2"/>
        <v>9.2080852301021036E-3</v>
      </c>
      <c r="P10" s="125">
        <f t="shared" si="3"/>
        <v>9.2080852301021036E-3</v>
      </c>
      <c r="Q10" s="73"/>
      <c r="R10" s="301">
        <f t="shared" si="4"/>
        <v>2434.9802951143888</v>
      </c>
      <c r="W10" s="125">
        <v>0.50704796810681474</v>
      </c>
      <c r="X10" s="73">
        <f t="shared" si="5"/>
        <v>-21.923666208155755</v>
      </c>
      <c r="AA10" s="125">
        <v>0.50494838549289101</v>
      </c>
      <c r="AB10" s="73">
        <f t="shared" si="6"/>
        <v>-2.0995826139237339E-3</v>
      </c>
      <c r="AC10" s="461" t="e">
        <f>+J10/#REF!-1</f>
        <v>#REF!</v>
      </c>
      <c r="AD10" s="73"/>
    </row>
    <row r="11" spans="1:30" x14ac:dyDescent="0.25">
      <c r="A11" s="91" t="s">
        <v>46</v>
      </c>
      <c r="B11" s="30" t="s">
        <v>228</v>
      </c>
      <c r="G11" s="68"/>
      <c r="H11" s="421">
        <f t="shared" si="1"/>
        <v>97.266324362486202</v>
      </c>
      <c r="I11" s="68"/>
      <c r="J11" s="421">
        <f>' ERSEP '!N162</f>
        <v>97.266324362486202</v>
      </c>
      <c r="K11" s="205"/>
      <c r="L11" s="421">
        <v>42.474423179697709</v>
      </c>
      <c r="M11" s="421">
        <f>' ERSEP '!N162</f>
        <v>97.266324362486202</v>
      </c>
      <c r="N11" s="301">
        <f t="shared" si="2"/>
        <v>3.9929027569543113E-2</v>
      </c>
      <c r="P11" s="125">
        <f t="shared" si="3"/>
        <v>3.9929027569543113E-2</v>
      </c>
      <c r="Q11" s="73"/>
      <c r="R11" s="301">
        <f t="shared" si="4"/>
        <v>2434.9802951143888</v>
      </c>
      <c r="W11" s="125">
        <v>1.5032011495839785</v>
      </c>
      <c r="X11" s="73">
        <f t="shared" si="5"/>
        <v>-95.763123212902229</v>
      </c>
      <c r="AA11" s="125">
        <v>1.4971132682317223</v>
      </c>
      <c r="AB11" s="73">
        <f t="shared" si="6"/>
        <v>-6.0878813522562414E-3</v>
      </c>
      <c r="AC11" s="461" t="e">
        <f>+J11/#REF!-1</f>
        <v>#REF!</v>
      </c>
      <c r="AD11" s="73"/>
    </row>
    <row r="12" spans="1:30" x14ac:dyDescent="0.25">
      <c r="A12" s="91" t="s">
        <v>230</v>
      </c>
      <c r="B12" s="91" t="s">
        <v>47</v>
      </c>
      <c r="G12" s="68"/>
      <c r="H12" s="421">
        <f t="shared" si="1"/>
        <v>2.0667996654958705</v>
      </c>
      <c r="I12" s="68"/>
      <c r="J12" s="421">
        <f>' ERSEP '!N168</f>
        <v>2.0667996654958705</v>
      </c>
      <c r="K12" s="205"/>
      <c r="L12" s="421">
        <v>1.0499046760779329</v>
      </c>
      <c r="M12" s="421">
        <f>' ERSEP '!N168</f>
        <v>2.0667996654958705</v>
      </c>
      <c r="N12" s="301">
        <f t="shared" si="2"/>
        <v>8.4844679147899984E-4</v>
      </c>
      <c r="P12" s="125">
        <f t="shared" si="3"/>
        <v>8.4844679147899984E-4</v>
      </c>
      <c r="Q12" s="73"/>
      <c r="R12" s="301">
        <f t="shared" si="4"/>
        <v>2434.9802951143888</v>
      </c>
      <c r="W12" s="125">
        <v>2.5805710508156797E-2</v>
      </c>
      <c r="X12" s="73">
        <f t="shared" si="5"/>
        <v>-2.0409939549877136</v>
      </c>
      <c r="AA12" s="125">
        <v>2.5805710508156797E-2</v>
      </c>
      <c r="AB12" s="73">
        <f t="shared" si="6"/>
        <v>0</v>
      </c>
      <c r="AC12" s="461" t="e">
        <f>+J12/#REF!-1</f>
        <v>#REF!</v>
      </c>
      <c r="AD12" s="73"/>
    </row>
    <row r="13" spans="1:30" x14ac:dyDescent="0.25">
      <c r="G13" s="68"/>
      <c r="H13" s="421">
        <f t="shared" si="1"/>
        <v>0</v>
      </c>
      <c r="I13" s="68"/>
      <c r="J13" s="421"/>
      <c r="K13" s="205"/>
      <c r="L13" s="421"/>
      <c r="M13" s="420"/>
      <c r="N13" s="205"/>
      <c r="P13" s="97"/>
      <c r="R13" s="205"/>
      <c r="AB13" s="30"/>
      <c r="AC13" s="461"/>
    </row>
    <row r="14" spans="1:30" x14ac:dyDescent="0.25">
      <c r="B14" s="94" t="s">
        <v>156</v>
      </c>
      <c r="C14" s="95"/>
      <c r="D14" s="95"/>
      <c r="E14" s="95"/>
      <c r="F14" s="95"/>
      <c r="G14" s="68"/>
      <c r="H14" s="386">
        <f t="shared" si="1"/>
        <v>418.93836206865603</v>
      </c>
      <c r="I14" s="68"/>
      <c r="J14" s="386">
        <f>J16+J17+J18+J19+J20</f>
        <v>418.93836206865603</v>
      </c>
      <c r="K14" s="1335">
        <f>J14/L14-1</f>
        <v>0.72608939727984589</v>
      </c>
      <c r="L14" s="386">
        <v>242.70953910548513</v>
      </c>
      <c r="M14" s="386">
        <f>SUM(M16:M20)</f>
        <v>418.93836206865603</v>
      </c>
      <c r="N14" s="490">
        <f>J14/J$39</f>
        <v>0.17197937229167262</v>
      </c>
      <c r="O14" s="479"/>
      <c r="P14" s="479"/>
      <c r="Q14" s="479"/>
      <c r="R14" s="479"/>
      <c r="S14" s="479"/>
      <c r="T14" s="479"/>
      <c r="U14" s="479"/>
      <c r="V14" s="479"/>
      <c r="W14" s="479"/>
      <c r="X14" s="479"/>
      <c r="Y14" s="479"/>
      <c r="Z14" s="479"/>
      <c r="AA14" s="479"/>
      <c r="AB14" s="479"/>
      <c r="AC14" s="478" t="e">
        <f>+J14/#REF!-1</f>
        <v>#REF!</v>
      </c>
    </row>
    <row r="15" spans="1:30" x14ac:dyDescent="0.25">
      <c r="G15" s="68"/>
      <c r="H15" s="421">
        <f t="shared" si="1"/>
        <v>0</v>
      </c>
      <c r="I15" s="68"/>
      <c r="J15" s="421"/>
      <c r="K15" s="205"/>
      <c r="L15" s="421"/>
      <c r="M15" s="420"/>
      <c r="N15" s="205"/>
      <c r="P15" s="97"/>
      <c r="R15" s="205"/>
      <c r="AB15" s="30"/>
      <c r="AC15" s="461"/>
    </row>
    <row r="16" spans="1:30" x14ac:dyDescent="0.25">
      <c r="A16" s="91" t="s">
        <v>57</v>
      </c>
      <c r="B16" s="30" t="s">
        <v>58</v>
      </c>
      <c r="G16" s="68"/>
      <c r="H16" s="421">
        <f t="shared" si="1"/>
        <v>325.74715563672885</v>
      </c>
      <c r="I16" s="68"/>
      <c r="J16" s="421">
        <f>' ERSEP '!N217</f>
        <v>325.74715563672885</v>
      </c>
      <c r="K16" s="205"/>
      <c r="L16" s="421">
        <v>173.53989626373624</v>
      </c>
      <c r="M16" s="421">
        <f>' ERSEP '!N217</f>
        <v>325.74715563672885</v>
      </c>
      <c r="N16" s="301">
        <f>J16/J$39</f>
        <v>0.13372323096785657</v>
      </c>
      <c r="P16" s="125">
        <f>+N16</f>
        <v>0.13372323096785657</v>
      </c>
      <c r="Q16" s="73"/>
      <c r="R16" s="301">
        <f>+J16/P16-1</f>
        <v>2434.9802951143888</v>
      </c>
      <c r="W16" s="125">
        <v>2.5805710508156797E-2</v>
      </c>
      <c r="X16" s="73">
        <f>+W16-J16</f>
        <v>-325.72134992622068</v>
      </c>
      <c r="AA16" s="125">
        <v>2.5805710508156797E-2</v>
      </c>
      <c r="AB16" s="73">
        <f>+AA16-W16</f>
        <v>0</v>
      </c>
      <c r="AC16" s="461" t="e">
        <f>+J16/#REF!-1</f>
        <v>#REF!</v>
      </c>
    </row>
    <row r="17" spans="1:29" s="98" customFormat="1" x14ac:dyDescent="0.25">
      <c r="A17" s="91" t="s">
        <v>59</v>
      </c>
      <c r="B17" s="98" t="s">
        <v>157</v>
      </c>
      <c r="G17" s="68"/>
      <c r="H17" s="421">
        <f t="shared" si="1"/>
        <v>15.360669864172248</v>
      </c>
      <c r="I17" s="68"/>
      <c r="J17" s="421">
        <f>' ERSEP '!N249</f>
        <v>15.360669864172248</v>
      </c>
      <c r="K17" s="205"/>
      <c r="L17" s="421">
        <v>12.224577039399763</v>
      </c>
      <c r="M17" s="421">
        <f>' ERSEP '!N249</f>
        <v>15.360669864172248</v>
      </c>
      <c r="N17" s="301">
        <f>J17/J$39</f>
        <v>6.3057447118844371E-3</v>
      </c>
      <c r="O17" s="30"/>
      <c r="P17" s="125">
        <f>+N17</f>
        <v>6.3057447118844371E-3</v>
      </c>
      <c r="Q17" s="73"/>
      <c r="R17" s="301">
        <f>+J17/P17-1</f>
        <v>2434.9802951143888</v>
      </c>
      <c r="S17" s="30"/>
      <c r="T17" s="30"/>
      <c r="U17" s="30"/>
      <c r="V17" s="30"/>
      <c r="W17" s="125">
        <v>2.5805710508156797E-2</v>
      </c>
      <c r="X17" s="73">
        <f>+W17-J17</f>
        <v>-15.334864153664091</v>
      </c>
      <c r="Y17" s="30"/>
      <c r="Z17" s="30"/>
      <c r="AA17" s="125">
        <v>2.5805710508156797E-2</v>
      </c>
      <c r="AB17" s="73">
        <f>+AA17-W17</f>
        <v>0</v>
      </c>
      <c r="AC17" s="461" t="e">
        <f>+J17/#REF!-1</f>
        <v>#REF!</v>
      </c>
    </row>
    <row r="18" spans="1:29" x14ac:dyDescent="0.25">
      <c r="A18" s="91" t="s">
        <v>64</v>
      </c>
      <c r="B18" s="30" t="s">
        <v>60</v>
      </c>
      <c r="G18" s="68"/>
      <c r="H18" s="421">
        <f t="shared" si="1"/>
        <v>67.080790819171185</v>
      </c>
      <c r="I18" s="68"/>
      <c r="J18" s="421">
        <f>' ERSEP '!N271</f>
        <v>67.080790819171185</v>
      </c>
      <c r="K18" s="205"/>
      <c r="L18" s="421">
        <v>49.678241638499202</v>
      </c>
      <c r="M18" s="421">
        <f>' ERSEP '!N271</f>
        <v>67.080790819171185</v>
      </c>
      <c r="N18" s="301">
        <f>J18/J$39</f>
        <v>2.7537493202924781E-2</v>
      </c>
      <c r="P18" s="125">
        <f>+N18</f>
        <v>2.7537493202924781E-2</v>
      </c>
      <c r="Q18" s="73"/>
      <c r="R18" s="301">
        <f>+J18/P18-1</f>
        <v>2434.9802951143888</v>
      </c>
      <c r="W18" s="125">
        <v>2.5805710508156797E-2</v>
      </c>
      <c r="X18" s="73">
        <f>+W18-J18</f>
        <v>-67.054985108663033</v>
      </c>
      <c r="AA18" s="125">
        <v>2.5805710508156797E-2</v>
      </c>
      <c r="AB18" s="73">
        <f>+AA18-W18</f>
        <v>0</v>
      </c>
      <c r="AC18" s="461" t="e">
        <f>+J18/#REF!-1</f>
        <v>#REF!</v>
      </c>
    </row>
    <row r="19" spans="1:29" x14ac:dyDescent="0.25">
      <c r="A19" s="91" t="s">
        <v>66</v>
      </c>
      <c r="B19" s="30" t="s">
        <v>65</v>
      </c>
      <c r="G19" s="68"/>
      <c r="H19" s="421">
        <f t="shared" si="1"/>
        <v>6.708079081917119</v>
      </c>
      <c r="I19" s="68"/>
      <c r="J19" s="421">
        <f>' ERSEP '!N309</f>
        <v>6.708079081917119</v>
      </c>
      <c r="K19" s="205"/>
      <c r="L19" s="421">
        <v>4.9678241638499205</v>
      </c>
      <c r="M19" s="421">
        <f>' ERSEP '!N309</f>
        <v>6.708079081917119</v>
      </c>
      <c r="N19" s="301">
        <f>J19/J$39</f>
        <v>2.7537493202924785E-3</v>
      </c>
      <c r="P19" s="125">
        <f>+N19</f>
        <v>2.7537493202924785E-3</v>
      </c>
      <c r="Q19" s="73"/>
      <c r="R19" s="301">
        <f>+J19/P19-1</f>
        <v>2434.9802951143888</v>
      </c>
      <c r="W19" s="125">
        <v>2.5805710508156797E-2</v>
      </c>
      <c r="X19" s="73">
        <f>+W19-J19</f>
        <v>-6.6822733714089626</v>
      </c>
      <c r="AA19" s="125">
        <v>2.5805710508156797E-2</v>
      </c>
      <c r="AB19" s="73">
        <f>+AA19-W19</f>
        <v>0</v>
      </c>
      <c r="AC19" s="461" t="e">
        <f>+J19/#REF!-1</f>
        <v>#REF!</v>
      </c>
    </row>
    <row r="20" spans="1:29" x14ac:dyDescent="0.25">
      <c r="A20" s="91" t="s">
        <v>168</v>
      </c>
      <c r="B20" s="30" t="s">
        <v>67</v>
      </c>
      <c r="G20" s="68"/>
      <c r="H20" s="421">
        <f t="shared" si="1"/>
        <v>4.041666666666667</v>
      </c>
      <c r="I20" s="68"/>
      <c r="J20" s="421">
        <f>' ERSEP '!N314</f>
        <v>4.041666666666667</v>
      </c>
      <c r="K20" s="205"/>
      <c r="L20" s="421">
        <v>2.2989999999999999</v>
      </c>
      <c r="M20" s="421">
        <f>' ERSEP '!N314</f>
        <v>4.041666666666667</v>
      </c>
      <c r="N20" s="301">
        <f>J20/J$39</f>
        <v>1.6591540887143663E-3</v>
      </c>
      <c r="P20" s="125">
        <f>+N20</f>
        <v>1.6591540887143663E-3</v>
      </c>
      <c r="Q20" s="73"/>
      <c r="R20" s="301">
        <f>+J20/P20-1</f>
        <v>2434.9802951143888</v>
      </c>
      <c r="W20" s="125">
        <v>2.5805710508156797E-2</v>
      </c>
      <c r="X20" s="73">
        <f>+W20-J20</f>
        <v>-4.0158609561585106</v>
      </c>
      <c r="AA20" s="125">
        <v>2.5805710508156797E-2</v>
      </c>
      <c r="AB20" s="73">
        <f>+AA20-W20</f>
        <v>0</v>
      </c>
      <c r="AC20" s="461" t="e">
        <f>+J20/#REF!-1</f>
        <v>#REF!</v>
      </c>
    </row>
    <row r="21" spans="1:29" x14ac:dyDescent="0.25">
      <c r="G21" s="68"/>
      <c r="H21" s="421">
        <f t="shared" si="1"/>
        <v>0</v>
      </c>
      <c r="I21" s="68"/>
      <c r="J21" s="421"/>
      <c r="K21" s="205"/>
      <c r="L21" s="421"/>
      <c r="M21" s="420"/>
      <c r="N21" s="205"/>
      <c r="P21" s="97"/>
      <c r="R21" s="205"/>
      <c r="AB21" s="30"/>
      <c r="AC21" s="461"/>
    </row>
    <row r="22" spans="1:29" x14ac:dyDescent="0.25">
      <c r="B22" s="94" t="s">
        <v>75</v>
      </c>
      <c r="C22" s="95"/>
      <c r="D22" s="95"/>
      <c r="E22" s="95"/>
      <c r="F22" s="95"/>
      <c r="G22" s="68"/>
      <c r="H22" s="386">
        <f t="shared" si="1"/>
        <v>419.15345739246686</v>
      </c>
      <c r="I22" s="68"/>
      <c r="J22" s="386">
        <f>J24+J25+J26+J27</f>
        <v>419.15345739246686</v>
      </c>
      <c r="K22" s="1335">
        <f>J22/L22-1</f>
        <v>0.15018934778100013</v>
      </c>
      <c r="L22" s="386">
        <v>364.42126524742866</v>
      </c>
      <c r="M22" s="386">
        <f>SUM(M24:M27)</f>
        <v>419.15345739246686</v>
      </c>
      <c r="N22" s="490">
        <f>J22/J$39</f>
        <v>0.17206767157892147</v>
      </c>
      <c r="O22" s="479"/>
      <c r="P22" s="479"/>
      <c r="Q22" s="479"/>
      <c r="R22" s="479"/>
      <c r="S22" s="479"/>
      <c r="T22" s="479"/>
      <c r="U22" s="479"/>
      <c r="V22" s="479"/>
      <c r="W22" s="479"/>
      <c r="X22" s="479"/>
      <c r="Y22" s="479"/>
      <c r="Z22" s="479"/>
      <c r="AA22" s="479"/>
      <c r="AB22" s="479"/>
      <c r="AC22" s="478" t="e">
        <f>+J22/#REF!-1</f>
        <v>#REF!</v>
      </c>
    </row>
    <row r="23" spans="1:29" x14ac:dyDescent="0.25">
      <c r="G23" s="68"/>
      <c r="H23" s="421">
        <f t="shared" si="1"/>
        <v>0</v>
      </c>
      <c r="I23" s="68"/>
      <c r="J23" s="421"/>
      <c r="K23" s="205"/>
      <c r="L23" s="421"/>
      <c r="M23" s="420"/>
      <c r="N23" s="205"/>
      <c r="P23" s="97"/>
      <c r="R23" s="205"/>
      <c r="AB23" s="30"/>
      <c r="AC23" s="461"/>
    </row>
    <row r="24" spans="1:29" x14ac:dyDescent="0.25">
      <c r="A24" s="91" t="s">
        <v>81</v>
      </c>
      <c r="B24" s="30" t="s">
        <v>82</v>
      </c>
      <c r="G24" s="68"/>
      <c r="H24" s="421">
        <f t="shared" si="1"/>
        <v>164.53577704735693</v>
      </c>
      <c r="I24" s="68"/>
      <c r="J24" s="421">
        <f>' ERSEP '!N332</f>
        <v>164.53577704735693</v>
      </c>
      <c r="K24" s="205"/>
      <c r="L24" s="421">
        <v>145.22208952004584</v>
      </c>
      <c r="M24" s="421">
        <f>' ERSEP '!N332</f>
        <v>164.53577704735693</v>
      </c>
      <c r="N24" s="301">
        <f>J24/J$39</f>
        <v>6.7543968798660037E-2</v>
      </c>
      <c r="P24" s="125">
        <f>+N24</f>
        <v>6.7543968798660037E-2</v>
      </c>
      <c r="Q24" s="73"/>
      <c r="R24" s="301">
        <f>+J24/P24-1</f>
        <v>2434.9802951143884</v>
      </c>
      <c r="W24" s="125">
        <v>2.5805710508156797E-2</v>
      </c>
      <c r="X24" s="73">
        <f>+W24-J24</f>
        <v>-164.50997133684876</v>
      </c>
      <c r="AA24" s="125">
        <v>2.5805710508156797E-2</v>
      </c>
      <c r="AB24" s="73">
        <f>+AA24-W24</f>
        <v>0</v>
      </c>
      <c r="AC24" s="461" t="e">
        <f>+J24/#REF!-1</f>
        <v>#REF!</v>
      </c>
    </row>
    <row r="25" spans="1:29" x14ac:dyDescent="0.25">
      <c r="A25" s="337" t="s">
        <v>85</v>
      </c>
      <c r="B25" s="98" t="s">
        <v>162</v>
      </c>
      <c r="C25" s="98"/>
      <c r="D25" s="98"/>
      <c r="E25" s="98"/>
      <c r="F25" s="98"/>
      <c r="G25" s="68"/>
      <c r="H25" s="421">
        <f t="shared" si="1"/>
        <v>74.041099671310633</v>
      </c>
      <c r="I25" s="68"/>
      <c r="J25" s="421">
        <f>' ERSEP '!N383</f>
        <v>74.041099671310633</v>
      </c>
      <c r="K25" s="205"/>
      <c r="L25" s="421">
        <v>65.349940284020633</v>
      </c>
      <c r="M25" s="421">
        <f>' ERSEP '!N383</f>
        <v>74.041099671310633</v>
      </c>
      <c r="N25" s="301">
        <f>J25/J$39</f>
        <v>3.0394785959397021E-2</v>
      </c>
      <c r="P25" s="125">
        <f>+N25</f>
        <v>3.0394785959397021E-2</v>
      </c>
      <c r="Q25" s="73"/>
      <c r="R25" s="301">
        <f>+J25/P25-1</f>
        <v>2434.9802951143888</v>
      </c>
      <c r="W25" s="125">
        <v>2.5805710508156797E-2</v>
      </c>
      <c r="X25" s="73">
        <f>+W25-J25</f>
        <v>-74.015293960802481</v>
      </c>
      <c r="AA25" s="125">
        <v>2.5805710508156797E-2</v>
      </c>
      <c r="AB25" s="73">
        <f>+AA25-W25</f>
        <v>0</v>
      </c>
      <c r="AC25" s="461" t="e">
        <f>+J25/#REF!-1</f>
        <v>#REF!</v>
      </c>
    </row>
    <row r="26" spans="1:29" x14ac:dyDescent="0.25">
      <c r="A26" s="91" t="s">
        <v>89</v>
      </c>
      <c r="B26" s="30" t="s">
        <v>90</v>
      </c>
      <c r="G26" s="68"/>
      <c r="H26" s="421">
        <f t="shared" si="1"/>
        <v>164.53577704735693</v>
      </c>
      <c r="I26" s="68"/>
      <c r="J26" s="421">
        <f>' ERSEP '!N421</f>
        <v>164.53577704735693</v>
      </c>
      <c r="K26" s="205"/>
      <c r="L26" s="421">
        <v>145.22208952004584</v>
      </c>
      <c r="M26" s="421">
        <f>' ERSEP '!N421</f>
        <v>164.53577704735693</v>
      </c>
      <c r="N26" s="301">
        <f>J26/J$39</f>
        <v>6.7543968798660037E-2</v>
      </c>
      <c r="P26" s="125">
        <f>+N26</f>
        <v>6.7543968798660037E-2</v>
      </c>
      <c r="Q26" s="73"/>
      <c r="R26" s="301">
        <f>+J26/P26-1</f>
        <v>2434.9802951143884</v>
      </c>
      <c r="W26" s="125">
        <v>2.5805710508156797E-2</v>
      </c>
      <c r="X26" s="73">
        <f>+W26-J26</f>
        <v>-164.50997133684876</v>
      </c>
      <c r="AA26" s="125">
        <v>2.5805710508156797E-2</v>
      </c>
      <c r="AB26" s="73">
        <f>+AA26-W26</f>
        <v>0</v>
      </c>
      <c r="AC26" s="461" t="e">
        <f>+J26/#REF!-1</f>
        <v>#REF!</v>
      </c>
    </row>
    <row r="27" spans="1:29" x14ac:dyDescent="0.25">
      <c r="A27" s="91" t="s">
        <v>94</v>
      </c>
      <c r="B27" s="30" t="s">
        <v>95</v>
      </c>
      <c r="G27" s="68"/>
      <c r="H27" s="421">
        <f t="shared" si="1"/>
        <v>16.040803626442347</v>
      </c>
      <c r="I27" s="68"/>
      <c r="J27" s="421">
        <f>' ERSEP '!N428</f>
        <v>16.040803626442347</v>
      </c>
      <c r="K27" s="205"/>
      <c r="L27" s="421">
        <v>8.6271459233163217</v>
      </c>
      <c r="M27" s="421">
        <f>' ERSEP '!N428</f>
        <v>16.040803626442347</v>
      </c>
      <c r="N27" s="301">
        <f>J27/J$39</f>
        <v>6.5849480222043844E-3</v>
      </c>
      <c r="P27" s="125">
        <f>+N27</f>
        <v>6.5849480222043844E-3</v>
      </c>
      <c r="Q27" s="73"/>
      <c r="R27" s="301">
        <f>+J27/P27-1</f>
        <v>2434.9802951143888</v>
      </c>
      <c r="W27" s="125">
        <v>2.5805710508156797E-2</v>
      </c>
      <c r="X27" s="73">
        <f>+W27-J27</f>
        <v>-16.014997915934192</v>
      </c>
      <c r="AA27" s="125">
        <v>2.5805710508156797E-2</v>
      </c>
      <c r="AB27" s="73">
        <f>+AA27-W27</f>
        <v>0</v>
      </c>
      <c r="AC27" s="461" t="e">
        <f>+J27/#REF!-1</f>
        <v>#REF!</v>
      </c>
    </row>
    <row r="28" spans="1:29" x14ac:dyDescent="0.25">
      <c r="G28" s="68"/>
      <c r="H28" s="421">
        <f t="shared" si="1"/>
        <v>0</v>
      </c>
      <c r="I28" s="68"/>
      <c r="J28" s="421"/>
      <c r="K28" s="205"/>
      <c r="L28" s="421"/>
      <c r="M28" s="420"/>
      <c r="N28" s="205"/>
      <c r="P28" s="97"/>
      <c r="R28" s="205"/>
      <c r="AB28" s="30"/>
      <c r="AC28" s="461"/>
    </row>
    <row r="29" spans="1:29" x14ac:dyDescent="0.25">
      <c r="B29" s="94" t="s">
        <v>158</v>
      </c>
      <c r="C29" s="95"/>
      <c r="D29" s="95"/>
      <c r="E29" s="95"/>
      <c r="F29" s="95"/>
      <c r="G29" s="68"/>
      <c r="H29" s="386">
        <f t="shared" si="1"/>
        <v>301.66607512232679</v>
      </c>
      <c r="I29" s="68"/>
      <c r="J29" s="386">
        <f>J31+J32+J33+J34+J35+J36</f>
        <v>301.66607512232679</v>
      </c>
      <c r="K29" s="1335">
        <f>J29/L29-1</f>
        <v>0.85013715820948588</v>
      </c>
      <c r="L29" s="386">
        <v>163.05065480349106</v>
      </c>
      <c r="M29" s="386">
        <f>SUM(M31:M36)</f>
        <v>301.66607512232679</v>
      </c>
      <c r="N29" s="490">
        <f>J29/J$39</f>
        <v>0.12383764997087596</v>
      </c>
      <c r="O29" s="479"/>
      <c r="P29" s="479"/>
      <c r="Q29" s="479"/>
      <c r="R29" s="479"/>
      <c r="S29" s="479"/>
      <c r="T29" s="479"/>
      <c r="U29" s="479"/>
      <c r="V29" s="479"/>
      <c r="W29" s="479"/>
      <c r="X29" s="479"/>
      <c r="Y29" s="479"/>
      <c r="Z29" s="479"/>
      <c r="AA29" s="479"/>
      <c r="AB29" s="479"/>
      <c r="AC29" s="478" t="e">
        <f>+J29/#REF!-1</f>
        <v>#REF!</v>
      </c>
    </row>
    <row r="30" spans="1:29" x14ac:dyDescent="0.25">
      <c r="G30" s="68"/>
      <c r="H30" s="421">
        <f t="shared" si="1"/>
        <v>0</v>
      </c>
      <c r="I30" s="68"/>
      <c r="J30" s="421"/>
      <c r="K30" s="205"/>
      <c r="L30" s="421"/>
      <c r="M30" s="420"/>
      <c r="N30" s="205"/>
      <c r="P30" s="97"/>
      <c r="R30" s="205"/>
      <c r="AB30" s="30"/>
      <c r="AC30" s="461"/>
    </row>
    <row r="31" spans="1:29" x14ac:dyDescent="0.25">
      <c r="A31" s="91" t="s">
        <v>109</v>
      </c>
      <c r="B31" s="30" t="s">
        <v>159</v>
      </c>
      <c r="G31" s="68"/>
      <c r="H31" s="421">
        <f t="shared" si="1"/>
        <v>3.4933852622563353</v>
      </c>
      <c r="I31" s="68"/>
      <c r="J31" s="421">
        <f>' ERSEP '!N460</f>
        <v>3.4933852622563353</v>
      </c>
      <c r="K31" s="205"/>
      <c r="L31" s="421">
        <v>3.0829694023009742</v>
      </c>
      <c r="M31" s="421">
        <f>' ERSEP '!N460</f>
        <v>3.4933852622563353</v>
      </c>
      <c r="N31" s="301">
        <f t="shared" ref="N31:N36" si="7">J31/J$39</f>
        <v>1.4340777999159852E-3</v>
      </c>
      <c r="P31" s="125">
        <f t="shared" ref="P31:P36" si="8">+N31</f>
        <v>1.4340777999159852E-3</v>
      </c>
      <c r="Q31" s="73"/>
      <c r="R31" s="301">
        <f t="shared" ref="R31:R36" si="9">+J31/P31-1</f>
        <v>2434.9802951143888</v>
      </c>
      <c r="W31" s="125">
        <v>2.5805710508156797E-2</v>
      </c>
      <c r="X31" s="73">
        <f t="shared" ref="X31:X36" si="10">+W31-J31</f>
        <v>-3.4675795517481784</v>
      </c>
      <c r="AA31" s="125">
        <v>2.5805710508156797E-2</v>
      </c>
      <c r="AB31" s="73">
        <f t="shared" ref="AB31:AB36" si="11">+AA31-W31</f>
        <v>0</v>
      </c>
      <c r="AC31" s="461" t="e">
        <f>+J31/#REF!-1</f>
        <v>#REF!</v>
      </c>
    </row>
    <row r="32" spans="1:29" x14ac:dyDescent="0.25">
      <c r="A32" s="337" t="s">
        <v>131</v>
      </c>
      <c r="B32" s="98" t="s">
        <v>160</v>
      </c>
      <c r="C32" s="98"/>
      <c r="D32" s="98"/>
      <c r="E32" s="98"/>
      <c r="F32" s="98"/>
      <c r="G32" s="68"/>
      <c r="H32" s="421">
        <f t="shared" si="1"/>
        <v>7.4041099671310633</v>
      </c>
      <c r="I32" s="68"/>
      <c r="J32" s="421">
        <f>' ERSEP '!N504</f>
        <v>7.4041099671310633</v>
      </c>
      <c r="K32" s="205"/>
      <c r="L32" s="421">
        <v>6.534994028402064</v>
      </c>
      <c r="M32" s="421">
        <f>' ERSEP '!N504</f>
        <v>7.4041099671310633</v>
      </c>
      <c r="N32" s="301">
        <f t="shared" si="7"/>
        <v>3.0394785959397021E-3</v>
      </c>
      <c r="P32" s="125">
        <f t="shared" si="8"/>
        <v>3.0394785959397021E-3</v>
      </c>
      <c r="Q32" s="73"/>
      <c r="R32" s="301">
        <f t="shared" si="9"/>
        <v>2434.9802951143888</v>
      </c>
      <c r="W32" s="125">
        <v>2.5805710508156797E-2</v>
      </c>
      <c r="X32" s="73">
        <f t="shared" si="10"/>
        <v>-7.3783042566229069</v>
      </c>
      <c r="AA32" s="125">
        <v>2.5805710508156797E-2</v>
      </c>
      <c r="AB32" s="73">
        <f t="shared" si="11"/>
        <v>0</v>
      </c>
      <c r="AC32" s="461" t="e">
        <f>+J32/#REF!-1</f>
        <v>#REF!</v>
      </c>
    </row>
    <row r="33" spans="1:29" x14ac:dyDescent="0.25">
      <c r="A33" s="91" t="s">
        <v>134</v>
      </c>
      <c r="B33" s="98" t="s">
        <v>161</v>
      </c>
      <c r="C33" s="98"/>
      <c r="D33" s="98"/>
      <c r="E33" s="98"/>
      <c r="F33" s="98"/>
      <c r="G33" s="68"/>
      <c r="H33" s="421">
        <f t="shared" si="1"/>
        <v>4.6382576560168767</v>
      </c>
      <c r="I33" s="68"/>
      <c r="J33" s="421">
        <f>' ERSEP '!N511</f>
        <v>4.6382576560168767</v>
      </c>
      <c r="K33" s="205"/>
      <c r="L33" s="421">
        <v>3.185543146659183</v>
      </c>
      <c r="M33" s="421">
        <f>' ERSEP '!N511</f>
        <v>4.6382576560168767</v>
      </c>
      <c r="N33" s="301">
        <f t="shared" si="7"/>
        <v>1.9040620588431621E-3</v>
      </c>
      <c r="P33" s="125">
        <f t="shared" si="8"/>
        <v>1.9040620588431621E-3</v>
      </c>
      <c r="Q33" s="73"/>
      <c r="R33" s="301">
        <f t="shared" si="9"/>
        <v>2434.9802951143888</v>
      </c>
      <c r="W33" s="125">
        <v>2.5805710508156797E-2</v>
      </c>
      <c r="X33" s="73">
        <f t="shared" si="10"/>
        <v>-4.6124519455087203</v>
      </c>
      <c r="AA33" s="125">
        <v>2.5805710508156797E-2</v>
      </c>
      <c r="AB33" s="73">
        <f t="shared" si="11"/>
        <v>0</v>
      </c>
      <c r="AC33" s="461" t="e">
        <f>+J33/#REF!-1</f>
        <v>#REF!</v>
      </c>
    </row>
    <row r="34" spans="1:29" s="98" customFormat="1" x14ac:dyDescent="0.25">
      <c r="A34" s="91" t="s">
        <v>139</v>
      </c>
      <c r="B34" s="98" t="s">
        <v>132</v>
      </c>
      <c r="G34" s="68"/>
      <c r="H34" s="421">
        <f t="shared" si="1"/>
        <v>64.495499186323983</v>
      </c>
      <c r="I34" s="68"/>
      <c r="J34" s="421">
        <f>' ERSEP '!N533</f>
        <v>64.495499186323983</v>
      </c>
      <c r="K34" s="205"/>
      <c r="L34" s="421">
        <v>33.849646323390004</v>
      </c>
      <c r="M34" s="421">
        <f>' ERSEP '!N533</f>
        <v>64.495499186323983</v>
      </c>
      <c r="N34" s="301">
        <f t="shared" si="7"/>
        <v>2.6476199054514683E-2</v>
      </c>
      <c r="O34" s="30"/>
      <c r="P34" s="125">
        <f t="shared" si="8"/>
        <v>2.6476199054514683E-2</v>
      </c>
      <c r="Q34" s="73"/>
      <c r="R34" s="301">
        <f t="shared" si="9"/>
        <v>2434.9802951143888</v>
      </c>
      <c r="S34" s="30"/>
      <c r="T34" s="30"/>
      <c r="U34" s="30"/>
      <c r="V34" s="30"/>
      <c r="W34" s="125">
        <v>2.5805710508156797E-2</v>
      </c>
      <c r="X34" s="73">
        <f t="shared" si="10"/>
        <v>-64.469693475815831</v>
      </c>
      <c r="Y34" s="30"/>
      <c r="Z34" s="30"/>
      <c r="AA34" s="125">
        <v>2.5805710508156797E-2</v>
      </c>
      <c r="AB34" s="73">
        <f t="shared" si="11"/>
        <v>0</v>
      </c>
      <c r="AC34" s="461" t="e">
        <f>+J34/#REF!-1</f>
        <v>#REF!</v>
      </c>
    </row>
    <row r="35" spans="1:29" x14ac:dyDescent="0.25">
      <c r="A35" s="337" t="s">
        <v>467</v>
      </c>
      <c r="B35" s="98" t="s">
        <v>135</v>
      </c>
      <c r="C35" s="98"/>
      <c r="D35" s="98"/>
      <c r="E35" s="98"/>
      <c r="F35" s="98"/>
      <c r="G35" s="68"/>
      <c r="H35" s="421">
        <f t="shared" si="1"/>
        <v>221.43454720637908</v>
      </c>
      <c r="I35" s="68"/>
      <c r="J35" s="421">
        <f>' ERSEP '!N538</f>
        <v>221.43454720637908</v>
      </c>
      <c r="K35" s="205"/>
      <c r="L35" s="421">
        <v>116.21711904363902</v>
      </c>
      <c r="M35" s="421">
        <f>' ERSEP '!N538</f>
        <v>221.43454720637908</v>
      </c>
      <c r="N35" s="301">
        <f t="shared" si="7"/>
        <v>9.0901616753833778E-2</v>
      </c>
      <c r="P35" s="125">
        <f t="shared" si="8"/>
        <v>9.0901616753833778E-2</v>
      </c>
      <c r="Q35" s="73"/>
      <c r="R35" s="301">
        <f t="shared" si="9"/>
        <v>2434.9802951143888</v>
      </c>
      <c r="W35" s="125">
        <v>2.5805710508156797E-2</v>
      </c>
      <c r="X35" s="73">
        <f t="shared" si="10"/>
        <v>-221.40874149587091</v>
      </c>
      <c r="AA35" s="125">
        <v>2.5805710508156797E-2</v>
      </c>
      <c r="AB35" s="73">
        <f t="shared" si="11"/>
        <v>0</v>
      </c>
      <c r="AC35" s="461" t="e">
        <f>+J35/#REF!-1</f>
        <v>#REF!</v>
      </c>
    </row>
    <row r="36" spans="1:29" x14ac:dyDescent="0.25">
      <c r="A36" s="91" t="s">
        <v>468</v>
      </c>
      <c r="B36" s="30" t="s">
        <v>140</v>
      </c>
      <c r="G36" s="68"/>
      <c r="H36" s="421">
        <f t="shared" si="1"/>
        <v>0.20027584421944661</v>
      </c>
      <c r="I36" s="68"/>
      <c r="J36" s="421">
        <f>' ERSEP '!N543</f>
        <v>0.20027584421944661</v>
      </c>
      <c r="K36" s="205"/>
      <c r="L36" s="421">
        <v>0.180382859099804</v>
      </c>
      <c r="M36" s="421">
        <f>' ERSEP '!N543</f>
        <v>0.20027584421944661</v>
      </c>
      <c r="N36" s="301">
        <f t="shared" si="7"/>
        <v>8.2215707828639083E-5</v>
      </c>
      <c r="P36" s="125">
        <f t="shared" si="8"/>
        <v>8.2215707828639083E-5</v>
      </c>
      <c r="Q36" s="73"/>
      <c r="R36" s="301">
        <f t="shared" si="9"/>
        <v>2434.9802951143888</v>
      </c>
      <c r="W36" s="125">
        <v>2.5805710508156797E-2</v>
      </c>
      <c r="X36" s="73">
        <f t="shared" si="10"/>
        <v>-0.1744701337112898</v>
      </c>
      <c r="AA36" s="125">
        <v>2.5805710508156797E-2</v>
      </c>
      <c r="AB36" s="73">
        <f t="shared" si="11"/>
        <v>0</v>
      </c>
      <c r="AC36" s="461" t="e">
        <f>+J36/#REF!-1</f>
        <v>#REF!</v>
      </c>
    </row>
    <row r="37" spans="1:29" x14ac:dyDescent="0.25">
      <c r="A37" s="91"/>
      <c r="B37" s="91"/>
      <c r="G37" s="68"/>
      <c r="H37" s="421">
        <f t="shared" si="1"/>
        <v>0</v>
      </c>
      <c r="I37" s="68"/>
      <c r="J37" s="421"/>
      <c r="L37" s="421"/>
      <c r="M37" s="421"/>
      <c r="N37" s="206"/>
      <c r="P37" s="173"/>
      <c r="Q37" s="73"/>
      <c r="R37" s="206"/>
      <c r="AB37" s="30"/>
      <c r="AC37" s="461"/>
    </row>
    <row r="38" spans="1:29" x14ac:dyDescent="0.25">
      <c r="G38" s="68"/>
      <c r="H38" s="421">
        <f t="shared" si="1"/>
        <v>0</v>
      </c>
      <c r="I38" s="68"/>
      <c r="J38" s="421"/>
      <c r="L38" s="421"/>
      <c r="M38" s="420"/>
      <c r="N38" s="205"/>
      <c r="P38" s="97"/>
      <c r="R38" s="205"/>
      <c r="AB38" s="30"/>
      <c r="AC38" s="461"/>
    </row>
    <row r="39" spans="1:29" x14ac:dyDescent="0.25">
      <c r="B39" s="94" t="s">
        <v>150</v>
      </c>
      <c r="C39" s="95"/>
      <c r="D39" s="95"/>
      <c r="E39" s="95"/>
      <c r="F39" s="95"/>
      <c r="G39" s="68"/>
      <c r="H39" s="386">
        <f>J39</f>
        <v>2435.9802951143888</v>
      </c>
      <c r="I39" s="68"/>
      <c r="J39" s="1330">
        <f>J4+J14+J22+J29</f>
        <v>2435.9802951143888</v>
      </c>
      <c r="K39" s="1335">
        <f>J39/L39-1</f>
        <v>0.90524006235268173</v>
      </c>
      <c r="L39" s="386">
        <v>1278.568692339129</v>
      </c>
      <c r="M39" s="386">
        <f>M4+M14+M22+M29</f>
        <v>2435.9802951143888</v>
      </c>
      <c r="N39" s="386">
        <v>772</v>
      </c>
      <c r="O39" s="479"/>
      <c r="P39" s="479"/>
      <c r="Q39" s="479"/>
      <c r="R39" s="479"/>
      <c r="S39" s="479"/>
      <c r="T39" s="479"/>
      <c r="U39" s="479"/>
      <c r="V39" s="479"/>
      <c r="W39" s="479"/>
      <c r="X39" s="479"/>
      <c r="Y39" s="479"/>
      <c r="Z39" s="479"/>
      <c r="AA39" s="479"/>
      <c r="AB39" s="479"/>
      <c r="AC39" s="478" t="e">
        <f>+J39/#REF!-1</f>
        <v>#REF!</v>
      </c>
    </row>
    <row r="40" spans="1:29" x14ac:dyDescent="0.25">
      <c r="B40" s="99"/>
      <c r="G40" s="68"/>
      <c r="H40" s="100"/>
      <c r="I40" s="68"/>
      <c r="J40" s="100"/>
      <c r="L40" s="100"/>
      <c r="M40" s="100"/>
      <c r="N40" s="207"/>
      <c r="P40" s="100"/>
      <c r="R40" s="207"/>
      <c r="AB40" s="30"/>
      <c r="AC40" s="461"/>
    </row>
    <row r="41" spans="1:29" x14ac:dyDescent="0.25">
      <c r="B41" s="94" t="s">
        <v>359</v>
      </c>
      <c r="C41" s="95"/>
      <c r="D41" s="95"/>
      <c r="E41" s="95"/>
      <c r="F41" s="95"/>
      <c r="G41" s="68"/>
      <c r="H41" s="386">
        <f>+J41</f>
        <v>36.27128698190478</v>
      </c>
      <c r="I41" s="68"/>
      <c r="J41" s="386">
        <f>+J63/(J65*J67)</f>
        <v>36.27128698190478</v>
      </c>
      <c r="K41" s="479"/>
      <c r="L41" s="386">
        <v>48.009939167420107</v>
      </c>
      <c r="M41" s="386">
        <f>+M63/(M65*M67)</f>
        <v>77.342920746635542</v>
      </c>
      <c r="N41" s="488"/>
      <c r="O41" s="479"/>
      <c r="P41" s="479"/>
      <c r="Q41" s="479"/>
      <c r="R41" s="479"/>
      <c r="S41" s="479"/>
      <c r="T41" s="479"/>
      <c r="U41" s="479"/>
      <c r="V41" s="479"/>
      <c r="W41" s="479"/>
      <c r="X41" s="479"/>
      <c r="Y41" s="479"/>
      <c r="Z41" s="479"/>
      <c r="AA41" s="479"/>
      <c r="AB41" s="479"/>
      <c r="AC41" s="478" t="e">
        <f>+J41/#REF!-1</f>
        <v>#REF!</v>
      </c>
    </row>
    <row r="42" spans="1:29" x14ac:dyDescent="0.25">
      <c r="G42" s="68"/>
      <c r="H42" s="420"/>
      <c r="I42" s="68"/>
      <c r="J42" s="420"/>
      <c r="L42" s="420"/>
      <c r="M42" s="420"/>
      <c r="N42" s="205"/>
      <c r="P42" s="97"/>
      <c r="R42" s="205"/>
      <c r="AB42" s="30"/>
      <c r="AC42" s="461"/>
    </row>
    <row r="43" spans="1:29" s="462" customFormat="1" ht="16.8" x14ac:dyDescent="0.25">
      <c r="B43" s="102" t="s">
        <v>366</v>
      </c>
      <c r="C43" s="103"/>
      <c r="D43" s="103"/>
      <c r="E43" s="103"/>
      <c r="F43" s="103"/>
      <c r="G43" s="68"/>
      <c r="H43" s="387">
        <f>+H39/H41</f>
        <v>67.160018235075697</v>
      </c>
      <c r="I43" s="68"/>
      <c r="J43" s="387">
        <f>+J39/J41</f>
        <v>67.160018235075697</v>
      </c>
      <c r="K43" s="479"/>
      <c r="L43" s="387">
        <v>26.631333313722983</v>
      </c>
      <c r="M43" s="387">
        <f>+M39/M41</f>
        <v>31.495840493201896</v>
      </c>
      <c r="N43" s="488"/>
      <c r="O43" s="479"/>
      <c r="P43" s="479"/>
      <c r="Q43" s="479"/>
      <c r="R43" s="479"/>
      <c r="S43" s="479"/>
      <c r="T43" s="479"/>
      <c r="U43" s="479"/>
      <c r="V43" s="479"/>
      <c r="W43" s="479"/>
      <c r="X43" s="479"/>
      <c r="Y43" s="479"/>
      <c r="Z43" s="479"/>
      <c r="AA43" s="479"/>
      <c r="AB43" s="479"/>
      <c r="AC43" s="478" t="e">
        <f>+J43/#REF!-1</f>
        <v>#REF!</v>
      </c>
    </row>
    <row r="44" spans="1:29" x14ac:dyDescent="0.25">
      <c r="G44" s="68"/>
      <c r="H44" s="463"/>
      <c r="I44" s="68"/>
      <c r="J44" s="463"/>
      <c r="L44" s="463"/>
      <c r="M44" s="463"/>
      <c r="N44" s="489"/>
      <c r="AB44" s="30"/>
      <c r="AC44" s="461"/>
    </row>
    <row r="45" spans="1:29" hidden="1" x14ac:dyDescent="0.25">
      <c r="B45" s="91"/>
      <c r="G45" s="68"/>
      <c r="H45" s="420"/>
      <c r="I45" s="68"/>
      <c r="J45" s="420"/>
      <c r="L45" s="420"/>
      <c r="M45" s="420"/>
      <c r="N45" s="205"/>
      <c r="P45" s="97"/>
      <c r="Q45" s="97"/>
      <c r="AB45" s="30"/>
      <c r="AC45" s="461"/>
    </row>
    <row r="46" spans="1:29" x14ac:dyDescent="0.25">
      <c r="H46" s="463"/>
      <c r="J46" s="463"/>
      <c r="K46" s="826"/>
      <c r="L46" s="463"/>
      <c r="M46" s="463"/>
      <c r="N46" s="205"/>
      <c r="AB46" s="30"/>
      <c r="AC46" s="461"/>
    </row>
    <row r="47" spans="1:29" x14ac:dyDescent="0.25">
      <c r="B47" s="30" t="s">
        <v>356</v>
      </c>
      <c r="G47" s="73"/>
      <c r="H47" s="422">
        <f>+H43*1.105</f>
        <v>74.211820149758637</v>
      </c>
      <c r="I47" s="73"/>
      <c r="J47" s="422">
        <f>J43*1.105</f>
        <v>74.211820149758637</v>
      </c>
      <c r="L47" s="422">
        <v>29.427623311663897</v>
      </c>
      <c r="M47" s="422">
        <f>+M43*1.105</f>
        <v>34.802903744988093</v>
      </c>
      <c r="N47" s="1108">
        <f>L47*1.3618</f>
        <v>40.074537425823891</v>
      </c>
      <c r="AB47" s="30"/>
      <c r="AC47" s="461"/>
    </row>
    <row r="48" spans="1:29" x14ac:dyDescent="0.25">
      <c r="H48" s="464"/>
      <c r="J48" s="464"/>
      <c r="L48" s="464"/>
      <c r="M48" s="464"/>
      <c r="N48" s="205"/>
      <c r="AB48" s="30"/>
      <c r="AC48" s="461"/>
    </row>
    <row r="49" spans="2:29" x14ac:dyDescent="0.25">
      <c r="B49" s="30" t="s">
        <v>362</v>
      </c>
      <c r="H49" s="465">
        <f>+H67</f>
        <v>29.427623311663897</v>
      </c>
      <c r="J49" s="422">
        <f>J67</f>
        <v>29.427623311663897</v>
      </c>
      <c r="L49" s="422">
        <v>13.490500000000001</v>
      </c>
      <c r="M49" s="465">
        <f>+M67</f>
        <v>2.5811999999999999</v>
      </c>
      <c r="N49" s="205"/>
      <c r="AB49" s="30"/>
      <c r="AC49" s="437" t="e">
        <f>#REF!+#REF!</f>
        <v>#REF!</v>
      </c>
    </row>
    <row r="50" spans="2:29" ht="13.8" thickBot="1" x14ac:dyDescent="0.3">
      <c r="H50" s="463"/>
      <c r="J50" s="463"/>
      <c r="L50" s="463"/>
      <c r="M50" s="463"/>
      <c r="N50" s="205"/>
      <c r="AB50" s="30"/>
      <c r="AC50" s="461"/>
    </row>
    <row r="51" spans="2:29" ht="24.75" customHeight="1" thickBot="1" x14ac:dyDescent="0.3">
      <c r="B51" s="390" t="s">
        <v>372</v>
      </c>
      <c r="C51" s="391"/>
      <c r="D51" s="391"/>
      <c r="E51" s="391"/>
      <c r="F51" s="391"/>
      <c r="G51" s="456"/>
      <c r="H51" s="423">
        <f>+H43/H49-1</f>
        <v>1.2822100692194272</v>
      </c>
      <c r="I51" s="456"/>
      <c r="J51" s="423">
        <f>+J43/J49-1</f>
        <v>1.2822100692194272</v>
      </c>
      <c r="K51" s="30" t="s">
        <v>894</v>
      </c>
      <c r="L51" s="423">
        <v>0.97408052434846604</v>
      </c>
      <c r="M51" s="423">
        <f>+M43/M49-1</f>
        <v>11.202014757942777</v>
      </c>
      <c r="N51" s="205">
        <v>0.97409999999999997</v>
      </c>
      <c r="R51" s="212"/>
      <c r="AB51" s="30"/>
      <c r="AC51" s="461" t="e">
        <f>+J51/#REF!-1</f>
        <v>#REF!</v>
      </c>
    </row>
    <row r="52" spans="2:29" x14ac:dyDescent="0.25">
      <c r="H52" s="30"/>
      <c r="L52" s="436"/>
      <c r="M52" s="436"/>
      <c r="N52" s="205">
        <f>J51-N51</f>
        <v>0.30811006921942719</v>
      </c>
      <c r="AB52" s="30"/>
      <c r="AC52" s="461"/>
    </row>
    <row r="53" spans="2:29" x14ac:dyDescent="0.25">
      <c r="G53" s="205"/>
      <c r="H53" s="30"/>
      <c r="I53" s="205"/>
      <c r="J53" s="466"/>
      <c r="L53" s="466"/>
      <c r="M53" s="466"/>
      <c r="N53" s="205"/>
      <c r="AB53" s="30"/>
      <c r="AC53" s="461" t="e">
        <f>AC49+#REF!</f>
        <v>#REF!</v>
      </c>
    </row>
    <row r="54" spans="2:29" hidden="1" x14ac:dyDescent="0.25">
      <c r="B54" s="91" t="s">
        <v>560</v>
      </c>
      <c r="G54" s="418"/>
      <c r="H54" s="418"/>
      <c r="I54" s="418"/>
      <c r="L54" s="436"/>
      <c r="M54" s="436"/>
      <c r="N54" s="205"/>
      <c r="AB54" s="30"/>
      <c r="AC54" s="461"/>
    </row>
    <row r="55" spans="2:29" hidden="1" x14ac:dyDescent="0.25">
      <c r="B55" s="91" t="s">
        <v>558</v>
      </c>
      <c r="L55" s="436"/>
      <c r="M55" s="436"/>
      <c r="N55" s="205"/>
      <c r="AB55" s="30"/>
      <c r="AC55" s="461"/>
    </row>
    <row r="56" spans="2:29" hidden="1" x14ac:dyDescent="0.25">
      <c r="B56" s="91" t="s">
        <v>559</v>
      </c>
      <c r="L56" s="436"/>
      <c r="M56" s="436"/>
      <c r="N56" s="205"/>
      <c r="AB56" s="30"/>
      <c r="AC56" s="461"/>
    </row>
    <row r="57" spans="2:29" hidden="1" x14ac:dyDescent="0.25">
      <c r="L57" s="436"/>
      <c r="M57" s="436"/>
      <c r="N57" s="205"/>
      <c r="AB57" s="30"/>
      <c r="AC57" s="461"/>
    </row>
    <row r="58" spans="2:29" hidden="1" x14ac:dyDescent="0.25">
      <c r="B58" s="91" t="s">
        <v>561</v>
      </c>
      <c r="L58" s="436"/>
      <c r="M58" s="436"/>
      <c r="N58" s="205"/>
      <c r="AB58" s="30"/>
      <c r="AC58" s="461"/>
    </row>
    <row r="59" spans="2:29" hidden="1" x14ac:dyDescent="0.25">
      <c r="B59" s="91" t="s">
        <v>558</v>
      </c>
      <c r="L59" s="436"/>
      <c r="M59" s="436"/>
      <c r="N59" s="205"/>
      <c r="AB59" s="30"/>
      <c r="AC59" s="461"/>
    </row>
    <row r="60" spans="2:29" hidden="1" x14ac:dyDescent="0.25">
      <c r="B60" s="91" t="s">
        <v>559</v>
      </c>
      <c r="L60" s="436"/>
      <c r="M60" s="436"/>
      <c r="N60" s="205"/>
      <c r="AB60" s="30"/>
      <c r="AC60" s="461"/>
    </row>
    <row r="61" spans="2:29" x14ac:dyDescent="0.25">
      <c r="J61" s="481"/>
      <c r="K61" s="97"/>
      <c r="L61" s="481"/>
      <c r="M61" s="481"/>
      <c r="N61" s="205"/>
      <c r="O61" s="97"/>
      <c r="P61" s="97"/>
      <c r="Q61" s="97"/>
      <c r="R61" s="97"/>
      <c r="AB61" s="30"/>
      <c r="AC61" s="461"/>
    </row>
    <row r="62" spans="2:29" x14ac:dyDescent="0.25">
      <c r="J62" s="466"/>
      <c r="L62" s="466"/>
      <c r="M62" s="466"/>
      <c r="N62" s="205"/>
      <c r="AB62" s="30"/>
      <c r="AC62" s="461"/>
    </row>
    <row r="63" spans="2:29" ht="13.8" x14ac:dyDescent="0.3">
      <c r="B63" s="467" t="s">
        <v>355</v>
      </c>
      <c r="C63" s="467" t="s">
        <v>357</v>
      </c>
      <c r="D63" s="467"/>
      <c r="E63" s="467"/>
      <c r="F63" s="467"/>
      <c r="H63" s="443">
        <f>'Hoja Llave'!O60</f>
        <v>6886725643.698</v>
      </c>
      <c r="J63" s="1338">
        <f>'Hoja Llave'!O60</f>
        <v>6886725643.698</v>
      </c>
      <c r="L63" s="1336">
        <v>4639670454.9915543</v>
      </c>
      <c r="M63" s="824">
        <v>1516538641.6904998</v>
      </c>
      <c r="N63" s="443"/>
      <c r="AB63" s="30"/>
      <c r="AC63" s="461" t="e">
        <f>+J63/#REF!-1</f>
        <v>#REF!</v>
      </c>
    </row>
    <row r="64" spans="2:29" x14ac:dyDescent="0.25">
      <c r="B64" s="467"/>
      <c r="C64" s="467"/>
      <c r="D64" s="467"/>
      <c r="E64" s="467"/>
      <c r="F64" s="467"/>
      <c r="H64" s="443"/>
      <c r="L64" s="436"/>
      <c r="M64" s="436"/>
      <c r="N64" s="205"/>
      <c r="AB64" s="30"/>
      <c r="AC64" s="461"/>
    </row>
    <row r="65" spans="2:29" ht="13.8" x14ac:dyDescent="0.3">
      <c r="B65" s="467" t="s">
        <v>180</v>
      </c>
      <c r="C65" s="467" t="s">
        <v>181</v>
      </c>
      <c r="D65" s="467"/>
      <c r="E65" s="467"/>
      <c r="F65" s="467"/>
      <c r="H65" s="443">
        <f>+J65</f>
        <v>6452004</v>
      </c>
      <c r="J65" s="1339">
        <f>'Hoja Llave'!O27</f>
        <v>6452004</v>
      </c>
      <c r="L65" s="1337">
        <v>7163544</v>
      </c>
      <c r="M65" s="443">
        <v>7596460.005859375</v>
      </c>
      <c r="N65" s="418">
        <f>J65/L65-1</f>
        <v>-9.9327930421031829E-2</v>
      </c>
      <c r="AB65" s="30"/>
      <c r="AC65" s="461"/>
    </row>
    <row r="66" spans="2:29" x14ac:dyDescent="0.25">
      <c r="B66" s="467"/>
      <c r="C66" s="467"/>
      <c r="D66" s="467"/>
      <c r="E66" s="467"/>
      <c r="F66" s="467"/>
      <c r="H66" s="443"/>
      <c r="L66" s="436"/>
      <c r="M66" s="436"/>
      <c r="N66" s="205"/>
      <c r="AB66" s="30"/>
      <c r="AC66" s="461"/>
    </row>
    <row r="67" spans="2:29" x14ac:dyDescent="0.25">
      <c r="B67" s="467" t="s">
        <v>356</v>
      </c>
      <c r="C67" s="467" t="s">
        <v>358</v>
      </c>
      <c r="D67" s="467"/>
      <c r="E67" s="467"/>
      <c r="F67" s="467"/>
      <c r="H67" s="441">
        <f>'Hoja Llave'!O61</f>
        <v>29.427623311663897</v>
      </c>
      <c r="J67" s="468">
        <f>'Hoja Llave'!O61</f>
        <v>29.427623311663897</v>
      </c>
      <c r="L67" s="422">
        <v>13.490500000000001</v>
      </c>
      <c r="M67" s="468">
        <v>2.5811999999999999</v>
      </c>
      <c r="N67" s="205"/>
      <c r="AB67" s="30"/>
      <c r="AC67" s="461"/>
    </row>
    <row r="69" spans="2:29" x14ac:dyDescent="0.25">
      <c r="J69" s="469"/>
    </row>
    <row r="70" spans="2:29" x14ac:dyDescent="0.25">
      <c r="G70" s="470"/>
      <c r="H70" s="470"/>
      <c r="I70" s="470"/>
      <c r="J70" s="471"/>
    </row>
    <row r="71" spans="2:29" x14ac:dyDescent="0.25">
      <c r="G71" s="470"/>
      <c r="H71" s="470"/>
      <c r="I71" s="470"/>
      <c r="J71" s="471"/>
    </row>
    <row r="72" spans="2:29" x14ac:dyDescent="0.25">
      <c r="G72" s="470"/>
      <c r="H72" s="470"/>
      <c r="I72" s="470"/>
      <c r="J72" s="471"/>
    </row>
    <row r="73" spans="2:29" x14ac:dyDescent="0.25">
      <c r="G73" s="470"/>
      <c r="H73" s="470"/>
      <c r="I73" s="470"/>
      <c r="J73" s="472"/>
    </row>
    <row r="74" spans="2:29" x14ac:dyDescent="0.25">
      <c r="G74" s="470"/>
      <c r="H74" s="470"/>
      <c r="I74" s="470"/>
      <c r="J74" s="472"/>
    </row>
    <row r="75" spans="2:29" x14ac:dyDescent="0.25">
      <c r="G75" s="470"/>
      <c r="H75" s="470"/>
      <c r="I75" s="470"/>
      <c r="J75" s="473"/>
    </row>
    <row r="76" spans="2:29" x14ac:dyDescent="0.25">
      <c r="G76" s="470"/>
      <c r="H76" s="470"/>
      <c r="I76" s="470"/>
      <c r="J76" s="472"/>
    </row>
    <row r="77" spans="2:29" x14ac:dyDescent="0.25">
      <c r="G77" s="470"/>
      <c r="H77" s="470"/>
      <c r="I77" s="470"/>
      <c r="J77" s="472"/>
    </row>
  </sheetData>
  <mergeCells count="2">
    <mergeCell ref="B1:F1"/>
    <mergeCell ref="H1:J1"/>
  </mergeCells>
  <phoneticPr fontId="6" type="noConversion"/>
  <printOptions horizontalCentered="1"/>
  <pageMargins left="0.31496062992125984" right="0.23622047244094491" top="1.0236220472440944" bottom="0.51181102362204722" header="0.27559055118110237" footer="0"/>
  <pageSetup paperSize="9" scale="63" fitToHeight="0" orientation="portrait" r:id="rId1"/>
  <headerFooter alignWithMargins="0">
    <oddHeader>&amp;L&amp;G&amp;RCdor.Lucas S.Gonzalez E.</oddHeader>
    <oddFooter>&amp;L&amp;8&amp;Z&amp;F&amp;R&amp;8&amp;D&amp;T</oddFooter>
  </headerFooter>
  <legacyDrawingHF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N76"/>
  <sheetViews>
    <sheetView showGridLines="0" topLeftCell="A10" zoomScale="90" zoomScaleNormal="90" workbookViewId="0">
      <selection activeCell="P42" sqref="P42"/>
    </sheetView>
  </sheetViews>
  <sheetFormatPr baseColWidth="10" defaultRowHeight="13.2" x14ac:dyDescent="0.25"/>
  <cols>
    <col min="1" max="1" width="4.5546875" customWidth="1"/>
    <col min="7" max="7" width="18.109375" style="10" bestFit="1" customWidth="1"/>
    <col min="8" max="8" width="3.33203125" style="10" customWidth="1"/>
    <col min="9" max="9" width="17.33203125" bestFit="1" customWidth="1"/>
    <col min="10" max="10" width="8.44140625" style="196" customWidth="1"/>
    <col min="11" max="11" width="8.44140625" style="196" hidden="1" customWidth="1"/>
    <col min="12" max="12" width="17.33203125" style="10" hidden="1" customWidth="1"/>
    <col min="13" max="13" width="3" style="10" customWidth="1"/>
    <col min="14" max="14" width="7.6640625" hidden="1" customWidth="1"/>
    <col min="15" max="15" width="6.5546875" style="10" hidden="1" customWidth="1"/>
    <col min="16" max="16" width="17.33203125" bestFit="1" customWidth="1"/>
    <col min="17" max="19" width="17.33203125" customWidth="1"/>
    <col min="20" max="20" width="8.109375" style="189" customWidth="1"/>
    <col min="21" max="21" width="11.33203125" bestFit="1" customWidth="1"/>
    <col min="22" max="22" width="10.44140625" bestFit="1" customWidth="1"/>
    <col min="23" max="23" width="4.109375" hidden="1" customWidth="1"/>
    <col min="24" max="24" width="14.33203125" hidden="1" customWidth="1"/>
    <col min="25" max="25" width="3" hidden="1" customWidth="1"/>
    <col min="26" max="26" width="13.109375" hidden="1" customWidth="1"/>
    <col min="27" max="27" width="3" hidden="1" customWidth="1"/>
    <col min="28" max="28" width="12.44140625" hidden="1" customWidth="1"/>
    <col min="29" max="29" width="6.6640625" hidden="1" customWidth="1"/>
    <col min="30" max="38" width="0" hidden="1" customWidth="1"/>
  </cols>
  <sheetData>
    <row r="1" spans="1:38" ht="27" customHeight="1" thickBot="1" x14ac:dyDescent="0.3">
      <c r="B1" s="1432" t="s">
        <v>659</v>
      </c>
      <c r="C1" s="1432"/>
      <c r="D1" s="1432"/>
      <c r="E1" s="1432"/>
      <c r="F1" s="1432"/>
      <c r="G1" s="1432"/>
      <c r="H1" s="21"/>
      <c r="J1" s="194"/>
      <c r="K1" s="194"/>
      <c r="L1" s="194"/>
      <c r="M1" s="21"/>
      <c r="O1"/>
    </row>
    <row r="2" spans="1:38" s="30" customFormat="1" ht="43.5" customHeight="1" thickBot="1" x14ac:dyDescent="0.3">
      <c r="B2" s="21"/>
      <c r="C2" s="21"/>
      <c r="D2" s="21"/>
      <c r="E2" s="21"/>
      <c r="F2" s="21"/>
      <c r="G2" s="300" t="s">
        <v>475</v>
      </c>
      <c r="H2" s="68"/>
      <c r="I2" s="382" t="s">
        <v>661</v>
      </c>
      <c r="J2" s="194"/>
      <c r="K2" s="194"/>
      <c r="L2" s="193" t="s">
        <v>474</v>
      </c>
      <c r="M2" s="68"/>
      <c r="O2"/>
      <c r="P2" s="400" t="s">
        <v>660</v>
      </c>
      <c r="Q2" s="403"/>
      <c r="R2" s="403"/>
      <c r="S2" s="403"/>
      <c r="T2" s="190"/>
      <c r="U2" s="299" t="s">
        <v>616</v>
      </c>
      <c r="X2" s="221" t="s">
        <v>617</v>
      </c>
      <c r="Y2"/>
      <c r="Z2" s="221" t="s">
        <v>618</v>
      </c>
      <c r="AB2" s="193" t="s">
        <v>619</v>
      </c>
      <c r="AG2" s="192" t="s">
        <v>471</v>
      </c>
    </row>
    <row r="3" spans="1:38" ht="45.75" customHeight="1" x14ac:dyDescent="0.25">
      <c r="B3" s="2"/>
      <c r="H3" s="68"/>
      <c r="J3" s="194"/>
      <c r="K3" s="194"/>
      <c r="M3" s="68"/>
      <c r="O3"/>
      <c r="P3" s="192"/>
      <c r="Q3" s="192"/>
      <c r="R3" s="192"/>
      <c r="S3" s="192"/>
      <c r="X3" s="10"/>
      <c r="AG3" s="38" t="s">
        <v>472</v>
      </c>
      <c r="AH3" s="1"/>
      <c r="AI3" s="1"/>
      <c r="AJ3" s="1"/>
      <c r="AK3" s="38" t="s">
        <v>473</v>
      </c>
    </row>
    <row r="4" spans="1:38" x14ac:dyDescent="0.25">
      <c r="B4" s="94" t="s">
        <v>1</v>
      </c>
      <c r="C4" s="95"/>
      <c r="D4" s="95"/>
      <c r="E4" s="95"/>
      <c r="F4" s="95"/>
      <c r="G4" s="96" t="e">
        <f>SUM(G6:G12)</f>
        <v>#REF!</v>
      </c>
      <c r="H4" s="68"/>
      <c r="I4" s="383">
        <f>SUM(I6:I12)</f>
        <v>17.067027415630442</v>
      </c>
      <c r="J4" s="384" t="e">
        <f>+G4/I4-1</f>
        <v>#REF!</v>
      </c>
      <c r="K4" s="194"/>
      <c r="L4" s="96" t="e">
        <f>SUM(L6:L12)</f>
        <v>#REF!</v>
      </c>
      <c r="M4" s="68"/>
      <c r="N4" s="105" t="e">
        <f>+L4/$L$39</f>
        <v>#REF!</v>
      </c>
      <c r="O4"/>
      <c r="P4" s="386" t="e">
        <f>SUM(P6:P12)</f>
        <v>#REF!</v>
      </c>
      <c r="Q4" s="404"/>
      <c r="R4" s="404"/>
      <c r="S4" s="404"/>
      <c r="T4" s="399" t="e">
        <f>+P4/G4-1</f>
        <v>#REF!</v>
      </c>
      <c r="U4" s="401" t="e">
        <f t="shared" ref="U4:U12" si="0">+P4-G4</f>
        <v>#REF!</v>
      </c>
      <c r="X4" s="96">
        <f>SUM(X6:X12)</f>
        <v>13.786199999999999</v>
      </c>
      <c r="Z4" s="96">
        <f>SUM(Z6:Z12)</f>
        <v>13.786199999999999</v>
      </c>
      <c r="AB4" s="204" t="e">
        <f>+P4/Z4-1</f>
        <v>#REF!</v>
      </c>
      <c r="AG4" s="96">
        <f>SUM(AG6:AG12)</f>
        <v>17.20600242767452</v>
      </c>
      <c r="AK4" s="96">
        <v>17.136377516610118</v>
      </c>
      <c r="AL4" s="62">
        <f>+AK4-AG4</f>
        <v>-6.9624911064401829E-2</v>
      </c>
    </row>
    <row r="5" spans="1:38" x14ac:dyDescent="0.25">
      <c r="B5" s="30"/>
      <c r="C5" s="30"/>
      <c r="D5" s="30"/>
      <c r="E5" s="30"/>
      <c r="F5" s="30"/>
      <c r="G5" s="97"/>
      <c r="H5" s="68"/>
      <c r="I5" s="97"/>
      <c r="J5" s="194"/>
      <c r="K5" s="194"/>
      <c r="L5" s="97"/>
      <c r="M5" s="68"/>
      <c r="N5" s="86"/>
      <c r="O5"/>
      <c r="P5" s="97"/>
      <c r="Q5" s="97"/>
      <c r="R5" s="97"/>
      <c r="S5" s="97"/>
      <c r="U5" s="97">
        <f t="shared" si="0"/>
        <v>0</v>
      </c>
      <c r="X5" s="97"/>
      <c r="Z5" s="97"/>
      <c r="AB5" s="205"/>
      <c r="AG5" s="97"/>
      <c r="AK5" s="97"/>
    </row>
    <row r="6" spans="1:38" x14ac:dyDescent="0.25">
      <c r="A6" s="8" t="s">
        <v>466</v>
      </c>
      <c r="B6" s="30" t="s">
        <v>3</v>
      </c>
      <c r="C6" s="30"/>
      <c r="D6" s="30"/>
      <c r="E6" s="30"/>
      <c r="F6" s="107" t="str">
        <f>+B6</f>
        <v>Horas Hombre del Personal de Conducción</v>
      </c>
      <c r="G6" s="125" t="e">
        <f>+#REF!</f>
        <v>#REF!</v>
      </c>
      <c r="H6" s="396"/>
      <c r="I6" s="125">
        <v>7.584207138273916</v>
      </c>
      <c r="J6" s="86" t="e">
        <f t="shared" ref="J6:J12" si="1">+G6/I6-1</f>
        <v>#REF!</v>
      </c>
      <c r="K6" s="194"/>
      <c r="L6" s="125">
        <f>+'FETAP_ASETAC +18%'!M45</f>
        <v>489.10967933466691</v>
      </c>
      <c r="M6" s="68"/>
      <c r="O6" s="86"/>
      <c r="P6" s="125" t="e">
        <f>+#REF!</f>
        <v>#REF!</v>
      </c>
      <c r="Q6" s="125"/>
      <c r="R6" s="125"/>
      <c r="S6" s="125"/>
      <c r="T6" s="399" t="e">
        <f>+P6/G6-1</f>
        <v>#REF!</v>
      </c>
      <c r="U6" s="191" t="e">
        <f t="shared" si="0"/>
        <v>#REF!</v>
      </c>
      <c r="V6" s="65"/>
      <c r="W6" s="65"/>
      <c r="X6" s="125">
        <v>6.2062999999999997</v>
      </c>
      <c r="Z6" s="125">
        <f t="shared" ref="Z6:Z12" si="2">+X6</f>
        <v>6.2062999999999997</v>
      </c>
      <c r="AA6" s="62"/>
      <c r="AB6" s="301" t="e">
        <f>+P6/Z6-1</f>
        <v>#REF!</v>
      </c>
      <c r="AG6" s="125">
        <v>8.0890987674434811</v>
      </c>
      <c r="AH6" s="62" t="e">
        <f t="shared" ref="AH6:AH12" si="3">+AG6-P6</f>
        <v>#REF!</v>
      </c>
      <c r="AK6" s="125">
        <v>8.0552772043753897</v>
      </c>
      <c r="AL6" s="62">
        <f>+AK6-AG6</f>
        <v>-3.3821563068091365E-2</v>
      </c>
    </row>
    <row r="7" spans="1:38" x14ac:dyDescent="0.25">
      <c r="A7" s="8" t="s">
        <v>8</v>
      </c>
      <c r="B7" s="30" t="s">
        <v>9</v>
      </c>
      <c r="C7" s="30"/>
      <c r="D7" s="30"/>
      <c r="E7" s="30"/>
      <c r="F7" s="107" t="str">
        <f t="shared" ref="F7:F12" si="4">+B7</f>
        <v>Incidencia Económica por Horas Extras</v>
      </c>
      <c r="G7" s="125" t="e">
        <f>+#REF!</f>
        <v>#REF!</v>
      </c>
      <c r="H7" s="397"/>
      <c r="I7" s="125">
        <v>0.24536856070543006</v>
      </c>
      <c r="J7" s="86" t="e">
        <f t="shared" si="1"/>
        <v>#REF!</v>
      </c>
      <c r="K7" s="86"/>
      <c r="L7" s="125">
        <f>+'FETAP_ASETAC +18%'!M93</f>
        <v>16.087256693361873</v>
      </c>
      <c r="M7" s="68"/>
      <c r="O7" s="86"/>
      <c r="P7" s="125" t="e">
        <f>+#REF!</f>
        <v>#REF!</v>
      </c>
      <c r="Q7" s="125"/>
      <c r="R7" s="125"/>
      <c r="S7" s="125"/>
      <c r="T7" s="399" t="e">
        <f t="shared" ref="T7:T12" si="5">+P7/G7-1</f>
        <v>#REF!</v>
      </c>
      <c r="U7" s="191" t="e">
        <f t="shared" si="0"/>
        <v>#REF!</v>
      </c>
      <c r="V7" s="65"/>
      <c r="W7" s="65"/>
      <c r="X7" s="125">
        <v>0.17780000000000001</v>
      </c>
      <c r="Z7" s="125">
        <f t="shared" si="2"/>
        <v>0.17780000000000001</v>
      </c>
      <c r="AA7" s="62"/>
      <c r="AB7" s="301" t="e">
        <f t="shared" ref="AB7:AB12" si="6">+P7/Z7-1</f>
        <v>#REF!</v>
      </c>
      <c r="AG7" s="125">
        <v>0.26201873024529004</v>
      </c>
      <c r="AH7" s="62" t="e">
        <f t="shared" si="3"/>
        <v>#REF!</v>
      </c>
      <c r="AK7" s="125">
        <v>0.26201873024529004</v>
      </c>
      <c r="AL7" s="62">
        <f t="shared" ref="AL7:AL12" si="7">+AK7-AG7</f>
        <v>0</v>
      </c>
    </row>
    <row r="8" spans="1:38" x14ac:dyDescent="0.25">
      <c r="A8" s="8" t="s">
        <v>14</v>
      </c>
      <c r="B8" s="30" t="s">
        <v>155</v>
      </c>
      <c r="C8" s="30"/>
      <c r="D8" s="30"/>
      <c r="E8" s="30"/>
      <c r="F8" s="107" t="str">
        <f t="shared" si="4"/>
        <v>Horas del Personal de Taller y Administración</v>
      </c>
      <c r="G8" s="125" t="e">
        <f>+#REF!+#REF!</f>
        <v>#REF!</v>
      </c>
      <c r="H8" s="396"/>
      <c r="I8" s="125">
        <v>3.3667175505611184</v>
      </c>
      <c r="J8" s="86" t="e">
        <f t="shared" si="1"/>
        <v>#REF!</v>
      </c>
      <c r="K8" s="86"/>
      <c r="L8" s="125" t="e">
        <f>+'FETAP_ASETAC +18%'!M98+#REF!</f>
        <v>#REF!</v>
      </c>
      <c r="M8" s="68"/>
      <c r="O8" s="86"/>
      <c r="P8" s="125" t="e">
        <f>+#REF!</f>
        <v>#REF!</v>
      </c>
      <c r="Q8" s="125"/>
      <c r="R8" s="125"/>
      <c r="S8" s="125"/>
      <c r="T8" s="399" t="e">
        <f t="shared" si="5"/>
        <v>#REF!</v>
      </c>
      <c r="U8" s="191" t="e">
        <f t="shared" si="0"/>
        <v>#REF!</v>
      </c>
      <c r="V8" s="65"/>
      <c r="W8" s="65"/>
      <c r="X8" s="125">
        <v>2.7452000000000001</v>
      </c>
      <c r="Z8" s="125">
        <f t="shared" si="2"/>
        <v>2.7452000000000001</v>
      </c>
      <c r="AA8" s="62"/>
      <c r="AB8" s="301" t="e">
        <f t="shared" si="6"/>
        <v>#REF!</v>
      </c>
      <c r="AG8" s="125">
        <v>3.5909805240061714</v>
      </c>
      <c r="AH8" s="62" t="e">
        <f t="shared" si="3"/>
        <v>#REF!</v>
      </c>
      <c r="AK8" s="125">
        <v>3.5764372518868921</v>
      </c>
      <c r="AL8" s="62">
        <f t="shared" si="7"/>
        <v>-1.4543272119279305E-2</v>
      </c>
    </row>
    <row r="9" spans="1:38" x14ac:dyDescent="0.25">
      <c r="A9" s="8" t="s">
        <v>19</v>
      </c>
      <c r="B9" s="30" t="s">
        <v>20</v>
      </c>
      <c r="C9" s="30"/>
      <c r="D9" s="30"/>
      <c r="E9" s="30"/>
      <c r="F9" s="107" t="str">
        <f t="shared" si="4"/>
        <v>Cargas Sociales</v>
      </c>
      <c r="G9" s="125" t="e">
        <f>+#REF!</f>
        <v>#REF!</v>
      </c>
      <c r="H9" s="397"/>
      <c r="I9" s="125">
        <v>3.9592892003687461</v>
      </c>
      <c r="J9" s="86" t="e">
        <f t="shared" si="1"/>
        <v>#REF!</v>
      </c>
      <c r="K9" s="86"/>
      <c r="L9" s="125">
        <f>+'FETAP_ASETAC +18%'!M109</f>
        <v>255.4698810991637</v>
      </c>
      <c r="M9" s="68"/>
      <c r="O9" s="86"/>
      <c r="P9" s="125" t="e">
        <f>+#REF!</f>
        <v>#REF!</v>
      </c>
      <c r="Q9" s="125"/>
      <c r="R9" s="125"/>
      <c r="S9" s="125"/>
      <c r="T9" s="399" t="e">
        <f t="shared" si="5"/>
        <v>#REF!</v>
      </c>
      <c r="U9" s="191" t="e">
        <f t="shared" si="0"/>
        <v>#REF!</v>
      </c>
      <c r="V9" s="65"/>
      <c r="W9" s="65"/>
      <c r="X9" s="125">
        <v>3.0815999999999999</v>
      </c>
      <c r="Z9" s="125">
        <f t="shared" si="2"/>
        <v>3.0815999999999999</v>
      </c>
      <c r="AA9" s="62"/>
      <c r="AB9" s="301" t="e">
        <f t="shared" si="6"/>
        <v>#REF!</v>
      </c>
      <c r="AG9" s="125">
        <v>3.2278495777806286</v>
      </c>
      <c r="AH9" s="62" t="e">
        <f t="shared" si="3"/>
        <v>#REF!</v>
      </c>
      <c r="AK9" s="125">
        <v>3.2147769658697753</v>
      </c>
      <c r="AL9" s="62">
        <f t="shared" si="7"/>
        <v>-1.3072611910853293E-2</v>
      </c>
    </row>
    <row r="10" spans="1:38" x14ac:dyDescent="0.25">
      <c r="A10" s="8" t="s">
        <v>35</v>
      </c>
      <c r="B10" s="30" t="s">
        <v>36</v>
      </c>
      <c r="C10" s="30"/>
      <c r="D10" s="30"/>
      <c r="E10" s="30"/>
      <c r="F10" s="107" t="str">
        <f t="shared" si="4"/>
        <v>Seguro del Personal</v>
      </c>
      <c r="G10" s="125" t="e">
        <f>+#REF!</f>
        <v>#REF!</v>
      </c>
      <c r="H10" s="398"/>
      <c r="I10" s="125">
        <v>0.4759843746504242</v>
      </c>
      <c r="J10" s="86" t="e">
        <f t="shared" si="1"/>
        <v>#REF!</v>
      </c>
      <c r="K10" s="86"/>
      <c r="L10" s="125">
        <f>+'FETAP_ASETAC +18%'!M155</f>
        <v>20.985741897579459</v>
      </c>
      <c r="M10" s="68"/>
      <c r="O10" s="86"/>
      <c r="P10" s="125" t="e">
        <f>+#REF!</f>
        <v>#REF!</v>
      </c>
      <c r="Q10" s="125"/>
      <c r="R10" s="125"/>
      <c r="S10" s="125"/>
      <c r="T10" s="399" t="e">
        <f t="shared" si="5"/>
        <v>#REF!</v>
      </c>
      <c r="U10" s="191" t="e">
        <f t="shared" si="0"/>
        <v>#REF!</v>
      </c>
      <c r="V10" s="65"/>
      <c r="W10" s="65"/>
      <c r="X10" s="125">
        <v>0.46129999999999999</v>
      </c>
      <c r="Z10" s="125">
        <f t="shared" si="2"/>
        <v>0.46129999999999999</v>
      </c>
      <c r="AA10" s="62"/>
      <c r="AB10" s="301" t="e">
        <f t="shared" si="6"/>
        <v>#REF!</v>
      </c>
      <c r="AG10" s="125">
        <v>0.50704796810681474</v>
      </c>
      <c r="AH10" s="62" t="e">
        <f t="shared" si="3"/>
        <v>#REF!</v>
      </c>
      <c r="AK10" s="125">
        <v>0.50494838549289101</v>
      </c>
      <c r="AL10" s="62">
        <f t="shared" si="7"/>
        <v>-2.0995826139237339E-3</v>
      </c>
    </row>
    <row r="11" spans="1:38" x14ac:dyDescent="0.25">
      <c r="A11" s="8" t="s">
        <v>46</v>
      </c>
      <c r="B11" s="30" t="s">
        <v>228</v>
      </c>
      <c r="C11" s="30"/>
      <c r="D11" s="30"/>
      <c r="E11" s="30"/>
      <c r="F11" s="107" t="str">
        <f t="shared" si="4"/>
        <v>Viáticos</v>
      </c>
      <c r="G11" s="125" t="e">
        <f>+#REF!</f>
        <v>#REF!</v>
      </c>
      <c r="H11" s="68"/>
      <c r="I11" s="125">
        <v>1.4093236258162822</v>
      </c>
      <c r="J11" s="86" t="e">
        <f t="shared" si="1"/>
        <v>#REF!</v>
      </c>
      <c r="K11" s="86"/>
      <c r="L11" s="125">
        <f>+'FETAP_ASETAC +18%'!M158</f>
        <v>90.935448485045185</v>
      </c>
      <c r="M11" s="68"/>
      <c r="O11" s="86"/>
      <c r="P11" s="125" t="e">
        <f>+#REF!</f>
        <v>#REF!</v>
      </c>
      <c r="Q11" s="125"/>
      <c r="R11" s="125"/>
      <c r="S11" s="125"/>
      <c r="T11" s="399" t="e">
        <f t="shared" si="5"/>
        <v>#REF!</v>
      </c>
      <c r="U11" s="191" t="e">
        <f t="shared" si="0"/>
        <v>#REF!</v>
      </c>
      <c r="V11" s="65"/>
      <c r="W11" s="65"/>
      <c r="X11" s="125">
        <v>1.0969</v>
      </c>
      <c r="Z11" s="125">
        <f t="shared" si="2"/>
        <v>1.0969</v>
      </c>
      <c r="AA11" s="62"/>
      <c r="AB11" s="301" t="e">
        <f t="shared" si="6"/>
        <v>#REF!</v>
      </c>
      <c r="AG11" s="125">
        <v>1.5032011495839785</v>
      </c>
      <c r="AH11" s="62" t="e">
        <f t="shared" si="3"/>
        <v>#REF!</v>
      </c>
      <c r="AK11" s="125">
        <v>1.4971132682317223</v>
      </c>
      <c r="AL11" s="62">
        <f t="shared" si="7"/>
        <v>-6.0878813522562414E-3</v>
      </c>
    </row>
    <row r="12" spans="1:38" x14ac:dyDescent="0.25">
      <c r="A12" s="8" t="s">
        <v>230</v>
      </c>
      <c r="B12" s="91" t="s">
        <v>47</v>
      </c>
      <c r="C12" s="30"/>
      <c r="D12" s="30"/>
      <c r="E12" s="30"/>
      <c r="F12" s="107" t="str">
        <f t="shared" si="4"/>
        <v>Indumentaria</v>
      </c>
      <c r="G12" s="125" t="e">
        <f>+#REF!</f>
        <v>#REF!</v>
      </c>
      <c r="H12" s="68"/>
      <c r="I12" s="125">
        <v>2.6136965254524636E-2</v>
      </c>
      <c r="J12" s="86" t="e">
        <f t="shared" si="1"/>
        <v>#REF!</v>
      </c>
      <c r="K12" s="86"/>
      <c r="L12" s="125">
        <f>+'FETAP_ASETAC +18%'!M166</f>
        <v>1.8855656558273213</v>
      </c>
      <c r="M12" s="68"/>
      <c r="O12" s="86"/>
      <c r="P12" s="125" t="e">
        <f>+#REF!</f>
        <v>#REF!</v>
      </c>
      <c r="Q12" s="125"/>
      <c r="R12" s="125"/>
      <c r="S12" s="125"/>
      <c r="T12" s="399" t="e">
        <f t="shared" si="5"/>
        <v>#REF!</v>
      </c>
      <c r="U12" s="191" t="e">
        <f t="shared" si="0"/>
        <v>#REF!</v>
      </c>
      <c r="V12" s="65"/>
      <c r="W12" s="65"/>
      <c r="X12" s="125">
        <v>1.7100000000000001E-2</v>
      </c>
      <c r="Z12" s="125">
        <f t="shared" si="2"/>
        <v>1.7100000000000001E-2</v>
      </c>
      <c r="AA12" s="62"/>
      <c r="AB12" s="301" t="e">
        <f t="shared" si="6"/>
        <v>#REF!</v>
      </c>
      <c r="AG12" s="125">
        <v>2.5805710508156797E-2</v>
      </c>
      <c r="AH12" s="62" t="e">
        <f t="shared" si="3"/>
        <v>#REF!</v>
      </c>
      <c r="AK12" s="125">
        <v>2.5805710508156797E-2</v>
      </c>
      <c r="AL12" s="62">
        <f t="shared" si="7"/>
        <v>0</v>
      </c>
    </row>
    <row r="13" spans="1:38" x14ac:dyDescent="0.25">
      <c r="B13" s="30"/>
      <c r="C13" s="30"/>
      <c r="D13" s="30"/>
      <c r="E13" s="30"/>
      <c r="F13" s="30"/>
      <c r="G13" s="97"/>
      <c r="H13" s="68"/>
      <c r="I13" s="97"/>
      <c r="J13" s="194"/>
      <c r="K13" s="194"/>
      <c r="L13" s="97"/>
      <c r="M13" s="68"/>
      <c r="N13" s="86"/>
      <c r="O13"/>
      <c r="P13" s="97"/>
      <c r="Q13" s="97"/>
      <c r="R13" s="97"/>
      <c r="S13" s="97"/>
      <c r="T13" s="297"/>
      <c r="U13" s="97"/>
      <c r="V13" s="65"/>
      <c r="W13" s="65"/>
      <c r="X13" s="97"/>
      <c r="Z13" s="97"/>
      <c r="AB13" s="205"/>
    </row>
    <row r="14" spans="1:38" x14ac:dyDescent="0.25">
      <c r="B14" s="94" t="s">
        <v>156</v>
      </c>
      <c r="C14" s="95"/>
      <c r="D14" s="95"/>
      <c r="E14" s="95"/>
      <c r="F14" s="95"/>
      <c r="G14" s="96" t="e">
        <f>SUM(G16:G20)</f>
        <v>#REF!</v>
      </c>
      <c r="H14" s="68"/>
      <c r="I14" s="383">
        <f>SUM(I16:I20)</f>
        <v>3.8774408370118163</v>
      </c>
      <c r="J14" s="384" t="e">
        <f>+G14/I14-1</f>
        <v>#REF!</v>
      </c>
      <c r="K14" s="194"/>
      <c r="L14" s="96">
        <f>SUM(L16:L20)</f>
        <v>297.91366465114947</v>
      </c>
      <c r="M14" s="68"/>
      <c r="N14" s="105" t="e">
        <f>+L14/$L$39</f>
        <v>#REF!</v>
      </c>
      <c r="O14"/>
      <c r="P14" s="386" t="e">
        <f>SUM(P16:P20)</f>
        <v>#REF!</v>
      </c>
      <c r="Q14" s="404"/>
      <c r="R14" s="404"/>
      <c r="S14" s="404"/>
      <c r="T14" s="399" t="e">
        <f>+P14/G14-1</f>
        <v>#REF!</v>
      </c>
      <c r="U14" s="401" t="e">
        <f>+P14-G14</f>
        <v>#REF!</v>
      </c>
      <c r="V14" s="65"/>
      <c r="W14" s="65"/>
      <c r="X14" s="96">
        <f>SUM(X16:X20)</f>
        <v>2.6661999999999999</v>
      </c>
      <c r="Z14" s="96">
        <f>SUM(Z16:Z20)</f>
        <v>2.2034710743801655</v>
      </c>
      <c r="AB14" s="204" t="e">
        <f>+P14/Z14-1</f>
        <v>#REF!</v>
      </c>
    </row>
    <row r="15" spans="1:38" x14ac:dyDescent="0.25">
      <c r="B15" s="30"/>
      <c r="C15" s="30"/>
      <c r="D15" s="30"/>
      <c r="E15" s="30"/>
      <c r="F15" s="30"/>
      <c r="G15" s="97"/>
      <c r="H15" s="68"/>
      <c r="I15" s="97"/>
      <c r="J15" s="194"/>
      <c r="K15" s="194"/>
      <c r="L15" s="97"/>
      <c r="M15" s="68"/>
      <c r="N15" s="86"/>
      <c r="O15"/>
      <c r="P15" s="97"/>
      <c r="Q15" s="97"/>
      <c r="R15" s="97"/>
      <c r="S15" s="97"/>
      <c r="T15" s="297"/>
      <c r="U15" s="97"/>
      <c r="V15" s="65"/>
      <c r="W15" s="65"/>
      <c r="X15" s="97"/>
      <c r="Z15" s="97"/>
      <c r="AB15" s="205"/>
    </row>
    <row r="16" spans="1:38" x14ac:dyDescent="0.25">
      <c r="A16" s="8" t="s">
        <v>57</v>
      </c>
      <c r="B16" s="30" t="s">
        <v>58</v>
      </c>
      <c r="C16" s="30"/>
      <c r="D16" s="30"/>
      <c r="E16" s="30"/>
      <c r="F16" s="107" t="str">
        <f>+B16</f>
        <v>Combustible</v>
      </c>
      <c r="G16" s="125" t="e">
        <f>+#REF!</f>
        <v>#REF!</v>
      </c>
      <c r="H16" s="68"/>
      <c r="I16" s="125">
        <v>2.5530576738461539</v>
      </c>
      <c r="J16" s="86" t="e">
        <f>+G16/I16-1</f>
        <v>#REF!</v>
      </c>
      <c r="K16" s="86"/>
      <c r="L16" s="125">
        <f>+'FETAP_ASETAC +18%'!M243</f>
        <v>253.00211868131868</v>
      </c>
      <c r="M16" s="68"/>
      <c r="O16" s="86"/>
      <c r="P16" s="125" t="e">
        <f>+#REF!</f>
        <v>#REF!</v>
      </c>
      <c r="Q16" s="125"/>
      <c r="R16" s="125"/>
      <c r="S16" s="125"/>
      <c r="T16" s="399" t="e">
        <f>+P16/G16-1</f>
        <v>#REF!</v>
      </c>
      <c r="U16" s="191" t="e">
        <f>+P16-G16</f>
        <v>#REF!</v>
      </c>
      <c r="V16" s="65"/>
      <c r="W16" s="65"/>
      <c r="X16" s="125">
        <v>1.3006</v>
      </c>
      <c r="Z16" s="305">
        <f>+X16/1.21</f>
        <v>1.0748760330578513</v>
      </c>
      <c r="AB16" s="301" t="e">
        <f>+P16/Z16-1</f>
        <v>#REF!</v>
      </c>
    </row>
    <row r="17" spans="1:28" s="19" customFormat="1" x14ac:dyDescent="0.25">
      <c r="A17" s="8" t="s">
        <v>59</v>
      </c>
      <c r="B17" s="98" t="s">
        <v>157</v>
      </c>
      <c r="C17" s="98"/>
      <c r="D17" s="98"/>
      <c r="E17" s="98"/>
      <c r="F17" s="107" t="str">
        <f>+B17</f>
        <v>Lubricantes</v>
      </c>
      <c r="G17" s="125" t="e">
        <f>+#REF!</f>
        <v>#REF!</v>
      </c>
      <c r="H17" s="68"/>
      <c r="I17" s="125">
        <v>0.11214486451656584</v>
      </c>
      <c r="J17" s="86" t="e">
        <f>+G17/I17-1</f>
        <v>#REF!</v>
      </c>
      <c r="K17" s="86"/>
      <c r="L17" s="125">
        <f>+'FETAP_ASETAC +18%'!M251</f>
        <v>14.828098748984999</v>
      </c>
      <c r="M17" s="68"/>
      <c r="O17" s="86"/>
      <c r="P17" s="125" t="e">
        <f>+#REF!</f>
        <v>#REF!</v>
      </c>
      <c r="Q17" s="125"/>
      <c r="R17" s="125"/>
      <c r="S17" s="125"/>
      <c r="T17" s="399" t="e">
        <f>+P17/G17-1</f>
        <v>#REF!</v>
      </c>
      <c r="U17" s="191" t="e">
        <f>+P17-G17</f>
        <v>#REF!</v>
      </c>
      <c r="V17" s="65"/>
      <c r="W17" s="65"/>
      <c r="X17" s="125">
        <v>0.10349999999999999</v>
      </c>
      <c r="Y17"/>
      <c r="Z17" s="305">
        <f>+X17/1.21</f>
        <v>8.5537190082644626E-2</v>
      </c>
      <c r="AA17"/>
      <c r="AB17" s="301" t="e">
        <f>+P17/Z17-1</f>
        <v>#REF!</v>
      </c>
    </row>
    <row r="18" spans="1:28" x14ac:dyDescent="0.25">
      <c r="A18" s="8" t="s">
        <v>64</v>
      </c>
      <c r="B18" s="30" t="s">
        <v>60</v>
      </c>
      <c r="C18" s="30"/>
      <c r="D18" s="30"/>
      <c r="E18" s="30"/>
      <c r="F18" s="107" t="str">
        <f>+B18</f>
        <v>Neumáticos</v>
      </c>
      <c r="G18" s="125" t="e">
        <f>+#REF!</f>
        <v>#REF!</v>
      </c>
      <c r="H18" s="328"/>
      <c r="I18" s="125">
        <v>0.95051966543857291</v>
      </c>
      <c r="J18" s="86" t="e">
        <f>+G18/I18-1</f>
        <v>#REF!</v>
      </c>
      <c r="K18" s="86"/>
      <c r="L18" s="125">
        <f>+'FETAP_ASETAC +18%'!M302</f>
        <v>24.847376261375</v>
      </c>
      <c r="M18" s="68"/>
      <c r="O18" s="86"/>
      <c r="P18" s="125" t="e">
        <f>+#REF!</f>
        <v>#REF!</v>
      </c>
      <c r="Q18" s="125"/>
      <c r="R18" s="125"/>
      <c r="S18" s="125"/>
      <c r="T18" s="399" t="e">
        <f>+P18/G18-1</f>
        <v>#REF!</v>
      </c>
      <c r="U18" s="191" t="e">
        <f>+P18-G18</f>
        <v>#REF!</v>
      </c>
      <c r="V18" s="65"/>
      <c r="W18" s="65"/>
      <c r="X18" s="125">
        <v>0.96009999999999995</v>
      </c>
      <c r="Z18" s="305">
        <f>+X18/1.21</f>
        <v>0.79347107438016529</v>
      </c>
      <c r="AB18" s="301" t="e">
        <f>+P18/Z18-1</f>
        <v>#REF!</v>
      </c>
    </row>
    <row r="19" spans="1:28" x14ac:dyDescent="0.25">
      <c r="A19" s="8" t="s">
        <v>66</v>
      </c>
      <c r="B19" s="30" t="s">
        <v>65</v>
      </c>
      <c r="C19" s="30"/>
      <c r="D19" s="30"/>
      <c r="E19" s="30"/>
      <c r="F19" s="107" t="str">
        <f>+B19</f>
        <v>Reparación Neumáticos</v>
      </c>
      <c r="G19" s="125" t="e">
        <f>+#REF!</f>
        <v>#REF!</v>
      </c>
      <c r="H19" s="68"/>
      <c r="I19" s="125">
        <v>9.5051966543857294E-2</v>
      </c>
      <c r="J19" s="86" t="e">
        <f>+G19/I19-1</f>
        <v>#REF!</v>
      </c>
      <c r="K19" s="86"/>
      <c r="L19" s="125">
        <f>+'FETAP_ASETAC +18%'!M307</f>
        <v>2.4847376261375</v>
      </c>
      <c r="M19" s="68"/>
      <c r="O19" s="86"/>
      <c r="P19" s="125" t="e">
        <f>+#REF!</f>
        <v>#REF!</v>
      </c>
      <c r="Q19" s="125"/>
      <c r="R19" s="125"/>
      <c r="S19" s="125"/>
      <c r="T19" s="399" t="e">
        <f>+P19/G19-1</f>
        <v>#REF!</v>
      </c>
      <c r="U19" s="191" t="e">
        <f>+P19-G19</f>
        <v>#REF!</v>
      </c>
      <c r="V19" s="65"/>
      <c r="W19" s="65"/>
      <c r="X19" s="125">
        <v>9.6000000000000002E-2</v>
      </c>
      <c r="Z19" s="305">
        <f>+X19/1.21</f>
        <v>7.9338842975206617E-2</v>
      </c>
      <c r="AB19" s="301" t="e">
        <f>+P19/Z19-1</f>
        <v>#REF!</v>
      </c>
    </row>
    <row r="20" spans="1:28" x14ac:dyDescent="0.25">
      <c r="A20" s="8" t="s">
        <v>168</v>
      </c>
      <c r="B20" s="30" t="s">
        <v>67</v>
      </c>
      <c r="C20" s="30"/>
      <c r="D20" s="30"/>
      <c r="E20" s="30"/>
      <c r="F20" s="107" t="str">
        <f>+B20</f>
        <v>Lavado y Engrase</v>
      </c>
      <c r="G20" s="125" t="e">
        <f>+#REF!</f>
        <v>#REF!</v>
      </c>
      <c r="H20" s="68"/>
      <c r="I20" s="125">
        <v>0.16666666666666666</v>
      </c>
      <c r="J20" s="86" t="e">
        <f>+G20/I20-1</f>
        <v>#REF!</v>
      </c>
      <c r="K20" s="86"/>
      <c r="L20" s="125">
        <f>+'FETAP_ASETAC +18%'!M312</f>
        <v>2.7513333333333332</v>
      </c>
      <c r="M20" s="68"/>
      <c r="O20" s="86"/>
      <c r="P20" s="125" t="e">
        <f>+#REF!</f>
        <v>#REF!</v>
      </c>
      <c r="Q20" s="125"/>
      <c r="R20" s="125"/>
      <c r="S20" s="125"/>
      <c r="T20" s="399" t="e">
        <f>+P20/G20-1</f>
        <v>#REF!</v>
      </c>
      <c r="U20" s="191" t="e">
        <f>+P20-G20</f>
        <v>#REF!</v>
      </c>
      <c r="V20" s="65"/>
      <c r="W20" s="65"/>
      <c r="X20" s="125">
        <v>0.20599999999999999</v>
      </c>
      <c r="Z20" s="305">
        <f>+X20/1.21</f>
        <v>0.17024793388429751</v>
      </c>
      <c r="AB20" s="301" t="e">
        <f>+P20/Z20-1</f>
        <v>#REF!</v>
      </c>
    </row>
    <row r="21" spans="1:28" x14ac:dyDescent="0.25">
      <c r="B21" s="30"/>
      <c r="C21" s="30"/>
      <c r="D21" s="30"/>
      <c r="E21" s="30"/>
      <c r="F21" s="30"/>
      <c r="G21" s="97"/>
      <c r="H21" s="68"/>
      <c r="I21" s="97"/>
      <c r="J21" s="194"/>
      <c r="K21" s="194"/>
      <c r="L21" s="97"/>
      <c r="M21" s="68"/>
      <c r="N21" s="86"/>
      <c r="O21"/>
      <c r="P21" s="97"/>
      <c r="Q21" s="97"/>
      <c r="R21" s="97"/>
      <c r="S21" s="97"/>
      <c r="T21" s="297"/>
      <c r="U21" s="191"/>
      <c r="V21" s="65"/>
      <c r="W21" s="65"/>
      <c r="X21" s="97"/>
      <c r="Z21" s="97"/>
      <c r="AB21" s="205"/>
    </row>
    <row r="22" spans="1:28" x14ac:dyDescent="0.25">
      <c r="B22" s="94" t="s">
        <v>75</v>
      </c>
      <c r="C22" s="95"/>
      <c r="D22" s="95"/>
      <c r="E22" s="95"/>
      <c r="F22" s="95"/>
      <c r="G22" s="96" t="e">
        <f>SUM(G24:G27)</f>
        <v>#REF!</v>
      </c>
      <c r="H22" s="68"/>
      <c r="I22" s="383">
        <f>SUM(I23:I27)</f>
        <v>4.15277439233496</v>
      </c>
      <c r="J22" s="384" t="e">
        <f>+G22/I22-1</f>
        <v>#REF!</v>
      </c>
      <c r="K22" s="194"/>
      <c r="L22" s="96">
        <f>SUM(L24:L27)</f>
        <v>14.634213908019658</v>
      </c>
      <c r="M22" s="68"/>
      <c r="N22" s="105" t="e">
        <f>+L22/$L$39</f>
        <v>#REF!</v>
      </c>
      <c r="O22"/>
      <c r="P22" s="386" t="e">
        <f>SUM(P24:P27)</f>
        <v>#REF!</v>
      </c>
      <c r="Q22" s="404"/>
      <c r="R22" s="404"/>
      <c r="S22" s="404"/>
      <c r="T22" s="399" t="e">
        <f>+P22/G22-1</f>
        <v>#REF!</v>
      </c>
      <c r="U22" s="401" t="e">
        <f>+P22-G22</f>
        <v>#REF!</v>
      </c>
      <c r="V22" s="65"/>
      <c r="W22" s="65"/>
      <c r="X22" s="96">
        <f>SUM(X24:X27)</f>
        <v>4.6838999999999995</v>
      </c>
      <c r="Z22" s="96">
        <f>SUM(Z24:Z27)</f>
        <v>4.4718588197898361</v>
      </c>
      <c r="AB22" s="204" t="e">
        <f>+P22/Z22-1</f>
        <v>#REF!</v>
      </c>
    </row>
    <row r="23" spans="1:28" x14ac:dyDescent="0.25">
      <c r="B23" s="30"/>
      <c r="C23" s="30"/>
      <c r="D23" s="30"/>
      <c r="E23" s="30"/>
      <c r="F23" s="30"/>
      <c r="G23" s="97"/>
      <c r="H23" s="68"/>
      <c r="I23" s="97"/>
      <c r="J23" s="194"/>
      <c r="K23" s="194"/>
      <c r="L23" s="97"/>
      <c r="M23" s="68"/>
      <c r="N23" s="86"/>
      <c r="O23"/>
      <c r="P23" s="97"/>
      <c r="Q23" s="97"/>
      <c r="R23" s="97"/>
      <c r="S23" s="97"/>
      <c r="T23" s="297"/>
      <c r="U23" s="191"/>
      <c r="V23" s="65"/>
      <c r="W23" s="65"/>
      <c r="X23" s="97"/>
      <c r="Z23" s="97"/>
      <c r="AB23" s="205"/>
    </row>
    <row r="24" spans="1:28" x14ac:dyDescent="0.25">
      <c r="A24" s="8" t="s">
        <v>81</v>
      </c>
      <c r="B24" s="30" t="s">
        <v>82</v>
      </c>
      <c r="C24" s="30"/>
      <c r="D24" s="30"/>
      <c r="E24" s="30"/>
      <c r="F24" s="107" t="str">
        <f>+B24</f>
        <v>Amortización</v>
      </c>
      <c r="G24" s="125" t="e">
        <f>+#REF!</f>
        <v>#REF!</v>
      </c>
      <c r="H24" s="68"/>
      <c r="I24" s="125">
        <v>1.5242291723672712</v>
      </c>
      <c r="J24" s="86" t="e">
        <f>+G24/I24-1</f>
        <v>#REF!</v>
      </c>
      <c r="K24" s="86"/>
      <c r="L24" s="125">
        <f>+'FETAP_ASETAC +18%'!M376</f>
        <v>0</v>
      </c>
      <c r="M24" s="68"/>
      <c r="O24" s="86"/>
      <c r="P24" s="125" t="e">
        <f>+#REF!</f>
        <v>#REF!</v>
      </c>
      <c r="Q24" s="125"/>
      <c r="R24" s="125"/>
      <c r="S24" s="125"/>
      <c r="T24" s="399" t="e">
        <f>+P24/G24-1</f>
        <v>#REF!</v>
      </c>
      <c r="U24" s="191" t="e">
        <f>+P24-G24</f>
        <v>#REF!</v>
      </c>
      <c r="V24" s="65"/>
      <c r="W24" s="65"/>
      <c r="X24" s="125">
        <v>1.8198000000000001</v>
      </c>
      <c r="Z24" s="305">
        <f>+X24/1.105</f>
        <v>1.6468778280542988</v>
      </c>
      <c r="AA24" s="62"/>
      <c r="AB24" s="301" t="e">
        <f>+P24/Z24-1</f>
        <v>#REF!</v>
      </c>
    </row>
    <row r="25" spans="1:28" x14ac:dyDescent="0.25">
      <c r="A25" s="47" t="s">
        <v>85</v>
      </c>
      <c r="B25" s="98" t="s">
        <v>162</v>
      </c>
      <c r="C25" s="98"/>
      <c r="D25" s="98"/>
      <c r="E25" s="98"/>
      <c r="F25" s="286" t="str">
        <f>+B25</f>
        <v>Interés sobre Capital Invertido</v>
      </c>
      <c r="G25" s="173" t="e">
        <f>+#REF!</f>
        <v>#REF!</v>
      </c>
      <c r="H25" s="68"/>
      <c r="I25" s="173">
        <v>0.68590312756527205</v>
      </c>
      <c r="J25" s="86" t="e">
        <f>+G25/I25-1</f>
        <v>#REF!</v>
      </c>
      <c r="K25" s="86"/>
      <c r="L25" s="173">
        <f>+'FETAP_ASETAC +18%'!M414</f>
        <v>0</v>
      </c>
      <c r="M25" s="68"/>
      <c r="O25" s="86"/>
      <c r="P25" s="173" t="e">
        <f>+#REF!</f>
        <v>#REF!</v>
      </c>
      <c r="Q25" s="173"/>
      <c r="R25" s="173"/>
      <c r="S25" s="173"/>
      <c r="T25" s="399" t="e">
        <f>+P25/G25-1</f>
        <v>#REF!</v>
      </c>
      <c r="U25" s="191" t="e">
        <f>+P25-G25</f>
        <v>#REF!</v>
      </c>
      <c r="V25" s="65"/>
      <c r="W25" s="65"/>
      <c r="X25" s="173">
        <v>0.81889999999999996</v>
      </c>
      <c r="Z25" s="173">
        <f>+X25</f>
        <v>0.81889999999999996</v>
      </c>
      <c r="AA25" s="62"/>
      <c r="AB25" s="301" t="e">
        <f>+P25/Z25-1</f>
        <v>#REF!</v>
      </c>
    </row>
    <row r="26" spans="1:28" x14ac:dyDescent="0.25">
      <c r="A26" s="8" t="s">
        <v>89</v>
      </c>
      <c r="B26" s="30" t="s">
        <v>90</v>
      </c>
      <c r="C26" s="30"/>
      <c r="D26" s="30"/>
      <c r="E26" s="30"/>
      <c r="F26" s="107" t="str">
        <f>+B26</f>
        <v>Reparaciones y Repuestos</v>
      </c>
      <c r="G26" s="125" t="e">
        <f>+#REF!</f>
        <v>#REF!</v>
      </c>
      <c r="H26" s="68"/>
      <c r="I26" s="125">
        <v>1.5242291723672712</v>
      </c>
      <c r="J26" s="86" t="e">
        <f>+G26/I26-1</f>
        <v>#REF!</v>
      </c>
      <c r="K26" s="86"/>
      <c r="L26" s="125">
        <f>+'FETAP_ASETAC +18%'!M421</f>
        <v>0</v>
      </c>
      <c r="M26" s="68"/>
      <c r="O26" s="86"/>
      <c r="P26" s="125" t="e">
        <f>+#REF!</f>
        <v>#REF!</v>
      </c>
      <c r="Q26" s="125"/>
      <c r="R26" s="125"/>
      <c r="S26" s="125"/>
      <c r="T26" s="399" t="e">
        <f>+P26/G26-1</f>
        <v>#REF!</v>
      </c>
      <c r="U26" s="191" t="e">
        <f>+P26-G26</f>
        <v>#REF!</v>
      </c>
      <c r="V26" s="65"/>
      <c r="W26" s="65"/>
      <c r="X26" s="125">
        <v>1.8198000000000001</v>
      </c>
      <c r="Z26" s="125">
        <f>+X26</f>
        <v>1.8198000000000001</v>
      </c>
      <c r="AA26" s="62"/>
      <c r="AB26" s="301" t="e">
        <f>+P26/Z26-1</f>
        <v>#REF!</v>
      </c>
    </row>
    <row r="27" spans="1:28" x14ac:dyDescent="0.25">
      <c r="A27" s="8" t="s">
        <v>94</v>
      </c>
      <c r="B27" s="30" t="s">
        <v>95</v>
      </c>
      <c r="C27" s="30"/>
      <c r="D27" s="30"/>
      <c r="E27" s="30"/>
      <c r="F27" s="107" t="str">
        <f>+B27</f>
        <v>Seguro</v>
      </c>
      <c r="G27" s="173" t="e">
        <f>+#REF!</f>
        <v>#REF!</v>
      </c>
      <c r="H27" s="68"/>
      <c r="I27" s="173">
        <v>0.41841292003514502</v>
      </c>
      <c r="J27" s="86" t="e">
        <f>+G27/I27-1</f>
        <v>#REF!</v>
      </c>
      <c r="K27" s="86"/>
      <c r="L27" s="173">
        <f>+'FETAP_ASETAC +18%'!M429</f>
        <v>14.634213908019658</v>
      </c>
      <c r="M27" s="68"/>
      <c r="O27" s="86"/>
      <c r="P27" s="173" t="e">
        <f>+#REF!</f>
        <v>#REF!</v>
      </c>
      <c r="Q27" s="173"/>
      <c r="R27" s="173"/>
      <c r="S27" s="173"/>
      <c r="T27" s="399" t="e">
        <f>+P27/G27-1</f>
        <v>#REF!</v>
      </c>
      <c r="U27" s="191" t="e">
        <f>+P27-G27</f>
        <v>#REF!</v>
      </c>
      <c r="V27" s="65"/>
      <c r="W27" s="65"/>
      <c r="X27" s="173">
        <v>0.22539999999999999</v>
      </c>
      <c r="Z27" s="305">
        <f>+X27/1.21</f>
        <v>0.18628099173553719</v>
      </c>
      <c r="AB27" s="301" t="e">
        <f>+P27/Z27-1</f>
        <v>#REF!</v>
      </c>
    </row>
    <row r="28" spans="1:28" x14ac:dyDescent="0.25">
      <c r="B28" s="30"/>
      <c r="C28" s="30"/>
      <c r="D28" s="30"/>
      <c r="E28" s="30"/>
      <c r="F28" s="30"/>
      <c r="G28" s="97"/>
      <c r="H28" s="68"/>
      <c r="I28" s="97"/>
      <c r="J28" s="194"/>
      <c r="K28" s="194"/>
      <c r="L28" s="97"/>
      <c r="M28" s="68"/>
      <c r="N28" s="86"/>
      <c r="O28"/>
      <c r="P28" s="97"/>
      <c r="Q28" s="97"/>
      <c r="R28" s="97"/>
      <c r="S28" s="97"/>
      <c r="T28" s="297"/>
      <c r="U28" s="191"/>
      <c r="V28" s="65"/>
      <c r="W28" s="65"/>
      <c r="X28" s="97"/>
      <c r="Z28" s="97"/>
      <c r="AB28" s="205"/>
    </row>
    <row r="29" spans="1:28" x14ac:dyDescent="0.25">
      <c r="B29" s="94" t="s">
        <v>158</v>
      </c>
      <c r="C29" s="95"/>
      <c r="D29" s="95"/>
      <c r="E29" s="95"/>
      <c r="F29" s="95"/>
      <c r="G29" s="96" t="e">
        <f>SUM(G31:G36)</f>
        <v>#REF!</v>
      </c>
      <c r="H29" s="68"/>
      <c r="I29" s="383">
        <f>SUM(I30:I36)</f>
        <v>4.4113874556583621</v>
      </c>
      <c r="J29" s="384" t="e">
        <f>+G29/I29-1</f>
        <v>#REF!</v>
      </c>
      <c r="K29" s="194"/>
      <c r="L29" s="96">
        <f>SUM(L31:L36)</f>
        <v>190.42349542668163</v>
      </c>
      <c r="M29" s="68"/>
      <c r="N29" s="105" t="e">
        <f>+L29/$L$39</f>
        <v>#REF!</v>
      </c>
      <c r="O29"/>
      <c r="P29" s="386" t="e">
        <f>SUM(P31:P36)</f>
        <v>#REF!</v>
      </c>
      <c r="Q29" s="404"/>
      <c r="R29" s="404"/>
      <c r="S29" s="404"/>
      <c r="T29" s="399" t="e">
        <f>+P29/G29-1</f>
        <v>#REF!</v>
      </c>
      <c r="U29" s="401" t="e">
        <f>+P29-G29</f>
        <v>#REF!</v>
      </c>
      <c r="V29" s="65"/>
      <c r="W29" s="65"/>
      <c r="X29" s="96">
        <f>SUM(X31:X36)</f>
        <v>3.8195000000000001</v>
      </c>
      <c r="Z29" s="96">
        <f>SUM(Z31:Z36)</f>
        <v>3.707505785123967</v>
      </c>
      <c r="AB29" s="204" t="e">
        <f>+P29/Z29-1</f>
        <v>#REF!</v>
      </c>
    </row>
    <row r="30" spans="1:28" x14ac:dyDescent="0.25">
      <c r="B30" s="30"/>
      <c r="C30" s="30"/>
      <c r="D30" s="30"/>
      <c r="E30" s="30"/>
      <c r="F30" s="30"/>
      <c r="G30" s="97"/>
      <c r="H30" s="68"/>
      <c r="I30" s="97"/>
      <c r="J30" s="194"/>
      <c r="K30" s="194"/>
      <c r="L30" s="97"/>
      <c r="M30" s="68"/>
      <c r="N30" s="86"/>
      <c r="O30"/>
      <c r="P30" s="97"/>
      <c r="Q30" s="97"/>
      <c r="R30" s="97"/>
      <c r="S30" s="97"/>
      <c r="T30" s="297"/>
      <c r="U30" s="97"/>
      <c r="V30" s="65"/>
      <c r="W30" s="65"/>
      <c r="X30" s="97"/>
      <c r="Z30" s="97"/>
      <c r="AB30" s="205"/>
    </row>
    <row r="31" spans="1:28" x14ac:dyDescent="0.25">
      <c r="A31" s="8" t="s">
        <v>109</v>
      </c>
      <c r="B31" s="30" t="s">
        <v>159</v>
      </c>
      <c r="C31" s="30"/>
      <c r="D31" s="30"/>
      <c r="E31" s="30"/>
      <c r="F31" s="107" t="str">
        <f t="shared" ref="F31:F37" si="8">+B31</f>
        <v>Depreciación de bienes muebles e inmuebles</v>
      </c>
      <c r="G31" s="173" t="e">
        <f>+#REF!</f>
        <v>#REF!</v>
      </c>
      <c r="H31" s="68"/>
      <c r="I31" s="173">
        <v>2.8548613097943213E-2</v>
      </c>
      <c r="J31" s="86" t="e">
        <f t="shared" ref="J31:J36" si="9">+G31/I31-1</f>
        <v>#REF!</v>
      </c>
      <c r="K31" s="86"/>
      <c r="L31" s="173">
        <f>+'FETAP_ASETAC +18%'!M498</f>
        <v>-1.0034438575667048</v>
      </c>
      <c r="M31" s="68"/>
      <c r="O31" s="86"/>
      <c r="P31" s="173" t="e">
        <f>+#REF!</f>
        <v>#REF!</v>
      </c>
      <c r="Q31" s="173"/>
      <c r="R31" s="173"/>
      <c r="S31" s="173"/>
      <c r="T31" s="399" t="e">
        <f t="shared" ref="T31:T36" si="10">+P31/G31-1</f>
        <v>#REF!</v>
      </c>
      <c r="U31" s="191" t="e">
        <f t="shared" ref="U31:U36" si="11">+P31-G31</f>
        <v>#REF!</v>
      </c>
      <c r="V31" s="65"/>
      <c r="W31" s="65"/>
      <c r="X31" s="173">
        <v>3.3399999999999999E-2</v>
      </c>
      <c r="Z31" s="173">
        <f>+X31</f>
        <v>3.3399999999999999E-2</v>
      </c>
      <c r="AA31" s="62"/>
      <c r="AB31" s="301" t="e">
        <f t="shared" ref="AB31:AB36" si="12">+P31/Z31-1</f>
        <v>#REF!</v>
      </c>
    </row>
    <row r="32" spans="1:28" x14ac:dyDescent="0.25">
      <c r="A32" s="47" t="s">
        <v>131</v>
      </c>
      <c r="B32" s="98" t="s">
        <v>160</v>
      </c>
      <c r="C32" s="98"/>
      <c r="D32" s="98"/>
      <c r="E32" s="98"/>
      <c r="F32" s="286" t="str">
        <f t="shared" si="8"/>
        <v>Interés sobre el capital de bienes muebles e inmuebles</v>
      </c>
      <c r="G32" s="173" t="e">
        <f>+#REF!</f>
        <v>#REF!</v>
      </c>
      <c r="H32" s="68"/>
      <c r="I32" s="173">
        <v>6.8590312756527202E-2</v>
      </c>
      <c r="J32" s="86" t="e">
        <f t="shared" si="9"/>
        <v>#REF!</v>
      </c>
      <c r="K32" s="86"/>
      <c r="L32" s="173">
        <f>+'FETAP_ASETAC +18%'!M504</f>
        <v>0</v>
      </c>
      <c r="M32" s="68"/>
      <c r="O32" s="86"/>
      <c r="P32" s="173" t="e">
        <f>+#REF!</f>
        <v>#REF!</v>
      </c>
      <c r="Q32" s="173"/>
      <c r="R32" s="173"/>
      <c r="S32" s="173"/>
      <c r="T32" s="399" t="e">
        <f t="shared" si="10"/>
        <v>#REF!</v>
      </c>
      <c r="U32" s="191" t="e">
        <f t="shared" si="11"/>
        <v>#REF!</v>
      </c>
      <c r="V32" s="65"/>
      <c r="W32" s="65"/>
      <c r="X32" s="173">
        <v>8.1900000000000001E-2</v>
      </c>
      <c r="Z32" s="173">
        <f>+X32</f>
        <v>8.1900000000000001E-2</v>
      </c>
      <c r="AA32" s="62"/>
      <c r="AB32" s="301" t="e">
        <f t="shared" si="12"/>
        <v>#REF!</v>
      </c>
    </row>
    <row r="33" spans="1:28" x14ac:dyDescent="0.25">
      <c r="A33" s="8" t="s">
        <v>134</v>
      </c>
      <c r="B33" s="98" t="s">
        <v>161</v>
      </c>
      <c r="C33" s="98"/>
      <c r="D33" s="98"/>
      <c r="E33" s="98"/>
      <c r="F33" s="286" t="str">
        <f t="shared" si="8"/>
        <v>Patentes</v>
      </c>
      <c r="G33" s="173" t="e">
        <f>+#REF!</f>
        <v>#REF!</v>
      </c>
      <c r="H33" s="68"/>
      <c r="I33" s="173">
        <v>0.24237702733585331</v>
      </c>
      <c r="J33" s="86" t="e">
        <f t="shared" si="9"/>
        <v>#REF!</v>
      </c>
      <c r="K33" s="86"/>
      <c r="L33" s="173">
        <f>+'FETAP_ASETAC +18%'!M511</f>
        <v>4.2315370401249135</v>
      </c>
      <c r="M33" s="68"/>
      <c r="O33" s="86"/>
      <c r="P33" s="173" t="e">
        <f>+#REF!</f>
        <v>#REF!</v>
      </c>
      <c r="Q33" s="173"/>
      <c r="R33" s="173"/>
      <c r="S33" s="173"/>
      <c r="T33" s="399" t="e">
        <f t="shared" si="10"/>
        <v>#REF!</v>
      </c>
      <c r="U33" s="191" t="e">
        <f t="shared" si="11"/>
        <v>#REF!</v>
      </c>
      <c r="V33" s="65"/>
      <c r="W33" s="65"/>
      <c r="X33" s="173">
        <v>0.2596</v>
      </c>
      <c r="Z33" s="173">
        <f>+X33</f>
        <v>0.2596</v>
      </c>
      <c r="AA33" s="62"/>
      <c r="AB33" s="301" t="e">
        <f t="shared" si="12"/>
        <v>#REF!</v>
      </c>
    </row>
    <row r="34" spans="1:28" s="19" customFormat="1" x14ac:dyDescent="0.25">
      <c r="A34" s="8" t="s">
        <v>139</v>
      </c>
      <c r="B34" s="98" t="s">
        <v>132</v>
      </c>
      <c r="C34" s="98"/>
      <c r="D34" s="98"/>
      <c r="E34" s="98"/>
      <c r="F34" s="286" t="str">
        <f t="shared" si="8"/>
        <v>Gastos Generales</v>
      </c>
      <c r="G34" s="173" t="e">
        <f>+#REF!</f>
        <v>#REF!</v>
      </c>
      <c r="H34" s="68"/>
      <c r="I34" s="173">
        <v>0.76310275794502636</v>
      </c>
      <c r="J34" s="86" t="e">
        <f t="shared" si="9"/>
        <v>#REF!</v>
      </c>
      <c r="K34" s="86"/>
      <c r="L34" s="173">
        <f>+'FETAP_ASETAC +18%'!M531</f>
        <v>42.224526821982728</v>
      </c>
      <c r="M34" s="68"/>
      <c r="O34" s="86"/>
      <c r="P34" s="173" t="e">
        <f>+#REF!</f>
        <v>#REF!</v>
      </c>
      <c r="Q34" s="173"/>
      <c r="R34" s="173"/>
      <c r="S34" s="173"/>
      <c r="T34" s="399" t="e">
        <f t="shared" si="10"/>
        <v>#REF!</v>
      </c>
      <c r="U34" s="191" t="e">
        <f t="shared" si="11"/>
        <v>#REF!</v>
      </c>
      <c r="V34" s="65"/>
      <c r="W34" s="65"/>
      <c r="X34" s="173">
        <v>0.64529999999999998</v>
      </c>
      <c r="Y34"/>
      <c r="Z34" s="305">
        <f>+X34/1.21</f>
        <v>0.53330578512396698</v>
      </c>
      <c r="AA34"/>
      <c r="AB34" s="301" t="e">
        <f t="shared" si="12"/>
        <v>#REF!</v>
      </c>
    </row>
    <row r="35" spans="1:28" x14ac:dyDescent="0.25">
      <c r="A35" s="47" t="s">
        <v>467</v>
      </c>
      <c r="B35" s="98" t="s">
        <v>135</v>
      </c>
      <c r="C35" s="98"/>
      <c r="D35" s="98"/>
      <c r="E35" s="98"/>
      <c r="F35" s="286" t="str">
        <f t="shared" si="8"/>
        <v>Beneficios</v>
      </c>
      <c r="G35" s="173" t="e">
        <f>+#REF!</f>
        <v>#REF!</v>
      </c>
      <c r="H35" s="68"/>
      <c r="I35" s="173">
        <v>2.6199861356112577</v>
      </c>
      <c r="J35" s="86" t="e">
        <f t="shared" si="9"/>
        <v>#REF!</v>
      </c>
      <c r="K35" s="86"/>
      <c r="L35" s="173">
        <f>+'FETAP_ASETAC +18%'!M536</f>
        <v>144.97087542214069</v>
      </c>
      <c r="M35" s="68"/>
      <c r="O35" s="86"/>
      <c r="P35" s="173" t="e">
        <f>+#REF!</f>
        <v>#REF!</v>
      </c>
      <c r="Q35" s="173"/>
      <c r="R35" s="173"/>
      <c r="S35" s="173"/>
      <c r="T35" s="399" t="e">
        <f t="shared" si="10"/>
        <v>#REF!</v>
      </c>
      <c r="U35" s="191" t="e">
        <f t="shared" si="11"/>
        <v>#REF!</v>
      </c>
      <c r="V35" s="65"/>
      <c r="W35" s="65"/>
      <c r="X35" s="173">
        <v>2.2157</v>
      </c>
      <c r="Z35" s="173">
        <f>+X35</f>
        <v>2.2157</v>
      </c>
      <c r="AA35" s="62"/>
      <c r="AB35" s="301" t="e">
        <f t="shared" si="12"/>
        <v>#REF!</v>
      </c>
    </row>
    <row r="36" spans="1:28" x14ac:dyDescent="0.25">
      <c r="A36" s="8" t="s">
        <v>468</v>
      </c>
      <c r="B36" s="30" t="s">
        <v>140</v>
      </c>
      <c r="C36" s="30"/>
      <c r="D36" s="30"/>
      <c r="E36" s="30"/>
      <c r="F36" s="107" t="str">
        <f t="shared" si="8"/>
        <v>Impuestos</v>
      </c>
      <c r="G36" s="173" t="e">
        <f>+#REF!</f>
        <v>#REF!</v>
      </c>
      <c r="H36" s="68"/>
      <c r="I36" s="173">
        <v>0.6887826089117548</v>
      </c>
      <c r="J36" s="86" t="e">
        <f t="shared" si="9"/>
        <v>#REF!</v>
      </c>
      <c r="K36" s="86"/>
      <c r="L36" s="173">
        <f>+'FETAP_ASETAC +18%'!M567</f>
        <v>0</v>
      </c>
      <c r="M36" s="68"/>
      <c r="O36" s="86"/>
      <c r="P36" s="173" t="e">
        <f>+#REF!</f>
        <v>#REF!</v>
      </c>
      <c r="Q36" s="173"/>
      <c r="R36" s="173"/>
      <c r="S36" s="173"/>
      <c r="T36" s="399" t="e">
        <f t="shared" si="10"/>
        <v>#REF!</v>
      </c>
      <c r="U36" s="191" t="e">
        <f t="shared" si="11"/>
        <v>#REF!</v>
      </c>
      <c r="V36" s="65"/>
      <c r="W36" s="65"/>
      <c r="X36" s="173">
        <v>0.58360000000000001</v>
      </c>
      <c r="Z36" s="173">
        <f>+X36</f>
        <v>0.58360000000000001</v>
      </c>
      <c r="AA36" s="62"/>
      <c r="AB36" s="301" t="e">
        <f t="shared" si="12"/>
        <v>#REF!</v>
      </c>
    </row>
    <row r="37" spans="1:28" x14ac:dyDescent="0.25">
      <c r="A37" s="8"/>
      <c r="B37" s="91"/>
      <c r="C37" s="30"/>
      <c r="D37" s="30"/>
      <c r="E37" s="30"/>
      <c r="F37" s="107">
        <f t="shared" si="8"/>
        <v>0</v>
      </c>
      <c r="G37" s="173"/>
      <c r="H37" s="68"/>
      <c r="I37" s="173"/>
      <c r="J37" s="86"/>
      <c r="K37" s="86"/>
      <c r="L37" s="173"/>
      <c r="M37" s="68"/>
      <c r="O37" s="86"/>
      <c r="P37" s="173"/>
      <c r="Q37" s="173"/>
      <c r="R37" s="173"/>
      <c r="S37" s="173"/>
      <c r="T37" s="297"/>
      <c r="U37" s="191"/>
      <c r="X37" s="173"/>
      <c r="Z37" s="173"/>
      <c r="AA37" s="62"/>
      <c r="AB37" s="206"/>
    </row>
    <row r="38" spans="1:28" x14ac:dyDescent="0.25">
      <c r="B38" s="30"/>
      <c r="C38" s="30"/>
      <c r="D38" s="30"/>
      <c r="E38" s="30"/>
      <c r="F38" s="30"/>
      <c r="G38" s="97"/>
      <c r="H38" s="68"/>
      <c r="I38" s="97"/>
      <c r="J38" s="194"/>
      <c r="K38" s="194"/>
      <c r="L38" s="97"/>
      <c r="M38" s="68"/>
      <c r="N38" s="86"/>
      <c r="O38"/>
      <c r="P38" s="97"/>
      <c r="Q38" s="97"/>
      <c r="R38" s="97"/>
      <c r="S38" s="97"/>
      <c r="U38" s="97"/>
      <c r="X38" s="97"/>
      <c r="Z38" s="97"/>
      <c r="AB38" s="205"/>
    </row>
    <row r="39" spans="1:28" x14ac:dyDescent="0.25">
      <c r="B39" s="94" t="s">
        <v>150</v>
      </c>
      <c r="C39" s="95"/>
      <c r="D39" s="95"/>
      <c r="E39" s="95"/>
      <c r="F39" s="95"/>
      <c r="G39" s="96" t="e">
        <f>+G29+G22+G14+G4</f>
        <v>#REF!</v>
      </c>
      <c r="H39" s="68"/>
      <c r="I39" s="383">
        <f>+I29+I22+I14+I4</f>
        <v>29.508630100635578</v>
      </c>
      <c r="J39" s="384" t="e">
        <f>+G39/I39-1</f>
        <v>#REF!</v>
      </c>
      <c r="K39" s="194"/>
      <c r="L39" s="96" t="e">
        <f>+L29+L22+L14+L4</f>
        <v>#REF!</v>
      </c>
      <c r="M39" s="68"/>
      <c r="N39" s="105" t="e">
        <f>+L39/$L$39</f>
        <v>#REF!</v>
      </c>
      <c r="O39"/>
      <c r="P39" s="386">
        <v>29.508600000000001</v>
      </c>
      <c r="Q39" s="386">
        <v>29.508600000000001</v>
      </c>
      <c r="R39" s="404"/>
      <c r="S39" s="404"/>
      <c r="T39" s="399" t="e">
        <f>+P39/G39-1</f>
        <v>#REF!</v>
      </c>
      <c r="U39" s="401" t="e">
        <f>+P39-G39</f>
        <v>#REF!</v>
      </c>
      <c r="V39">
        <f>+P39/I39-1</f>
        <v>-1.0200621131106757E-6</v>
      </c>
      <c r="X39" s="96">
        <f>+X29+X22+X14+X4</f>
        <v>24.955799999999996</v>
      </c>
      <c r="Z39" s="96">
        <f>+Z29+Z22+Z14+Z4</f>
        <v>24.16903567929397</v>
      </c>
      <c r="AA39" s="62"/>
      <c r="AB39" s="204">
        <f>+P39/Z39-1</f>
        <v>0.22092583219116713</v>
      </c>
    </row>
    <row r="40" spans="1:28" x14ac:dyDescent="0.25">
      <c r="B40" s="99"/>
      <c r="C40" s="30"/>
      <c r="D40" s="30"/>
      <c r="E40" s="30"/>
      <c r="F40" s="30"/>
      <c r="G40" s="100"/>
      <c r="H40" s="68"/>
      <c r="I40" s="100"/>
      <c r="J40" s="194"/>
      <c r="K40" s="194"/>
      <c r="L40" s="100"/>
      <c r="M40" s="68"/>
      <c r="N40" s="8"/>
      <c r="O40"/>
      <c r="P40" s="100"/>
      <c r="Q40" s="100"/>
      <c r="R40" s="100"/>
      <c r="S40" s="100"/>
      <c r="U40" s="100"/>
      <c r="X40" s="100"/>
      <c r="Z40" s="100"/>
      <c r="AB40" s="207"/>
    </row>
    <row r="41" spans="1:28" x14ac:dyDescent="0.25">
      <c r="B41" s="94" t="s">
        <v>359</v>
      </c>
      <c r="C41" s="95"/>
      <c r="D41" s="95"/>
      <c r="E41" s="95"/>
      <c r="F41" s="95"/>
      <c r="G41" s="101" t="e">
        <f>+G63/(G65*G67)</f>
        <v>#REF!</v>
      </c>
      <c r="H41" s="68"/>
      <c r="I41" s="383">
        <f>+I63/(I65*I67)</f>
        <v>34.319816439920089</v>
      </c>
      <c r="J41" s="384" t="e">
        <f>+G41/I41-1</f>
        <v>#REF!</v>
      </c>
      <c r="K41" s="194"/>
      <c r="L41" s="101" t="e">
        <f>+G41</f>
        <v>#REF!</v>
      </c>
      <c r="M41" s="68"/>
      <c r="N41" s="8"/>
      <c r="O41"/>
      <c r="P41" s="386">
        <f>+I73</f>
        <v>34.319816439920089</v>
      </c>
      <c r="Q41" s="386">
        <f>+Q73</f>
        <v>26.954897274522487</v>
      </c>
      <c r="R41" s="404"/>
      <c r="S41" s="404"/>
      <c r="U41" s="401" t="e">
        <f>+P41-G41</f>
        <v>#REF!</v>
      </c>
      <c r="X41" s="101">
        <v>32.979700000000001</v>
      </c>
      <c r="Z41" s="101" t="e">
        <f>+G41</f>
        <v>#REF!</v>
      </c>
      <c r="AA41" s="62"/>
      <c r="AB41" s="204" t="e">
        <f>+P41/Z41-1</f>
        <v>#REF!</v>
      </c>
    </row>
    <row r="42" spans="1:28" x14ac:dyDescent="0.25">
      <c r="B42" s="30"/>
      <c r="C42" s="30"/>
      <c r="D42" s="30"/>
      <c r="E42" s="30"/>
      <c r="F42" s="30"/>
      <c r="G42" s="97"/>
      <c r="H42" s="68"/>
      <c r="I42" s="97"/>
      <c r="J42" s="194"/>
      <c r="K42" s="194"/>
      <c r="L42" s="97"/>
      <c r="M42" s="68"/>
      <c r="N42" s="8"/>
      <c r="O42"/>
      <c r="P42" s="97"/>
      <c r="Q42" s="97"/>
      <c r="R42" s="97"/>
      <c r="S42" s="97"/>
      <c r="U42" s="97"/>
      <c r="X42" s="97"/>
      <c r="Z42" s="97"/>
      <c r="AB42" s="205"/>
    </row>
    <row r="43" spans="1:28" s="24" customFormat="1" ht="16.8" x14ac:dyDescent="0.3">
      <c r="B43" s="102" t="s">
        <v>366</v>
      </c>
      <c r="C43" s="103"/>
      <c r="D43" s="103"/>
      <c r="E43" s="103"/>
      <c r="F43" s="103"/>
      <c r="G43" s="104" t="e">
        <f>+G39/G41</f>
        <v>#REF!</v>
      </c>
      <c r="H43" s="68"/>
      <c r="I43" s="385">
        <f>+I39/I41</f>
        <v>0.85981316806554242</v>
      </c>
      <c r="J43" s="384" t="e">
        <f>+G43/I43-1</f>
        <v>#REF!</v>
      </c>
      <c r="K43" s="194"/>
      <c r="L43" s="104" t="e">
        <f>+L39/L41</f>
        <v>#REF!</v>
      </c>
      <c r="M43" s="68"/>
      <c r="O43"/>
      <c r="P43" s="387">
        <f>+P39/P41</f>
        <v>0.85981229100270529</v>
      </c>
      <c r="Q43" s="387">
        <f>+Q39/Q41</f>
        <v>1.0947398426144717</v>
      </c>
      <c r="R43" s="405"/>
      <c r="S43" s="405"/>
      <c r="T43" s="189"/>
      <c r="U43" s="402" t="e">
        <f>+P43-G43</f>
        <v>#REF!</v>
      </c>
      <c r="V43" s="209"/>
      <c r="X43" s="104">
        <f>+X39/X41</f>
        <v>0.75670184992586331</v>
      </c>
      <c r="Y43"/>
      <c r="Z43" s="104" t="e">
        <f>+Z39/Z41</f>
        <v>#REF!</v>
      </c>
      <c r="AA43" s="209"/>
      <c r="AB43" s="204" t="e">
        <f>+P43/Z43-1</f>
        <v>#REF!</v>
      </c>
    </row>
    <row r="44" spans="1:28" x14ac:dyDescent="0.25">
      <c r="B44" s="30"/>
      <c r="C44" s="30"/>
      <c r="D44" s="30"/>
      <c r="E44" s="30"/>
      <c r="F44" s="30"/>
      <c r="G44" s="97"/>
      <c r="H44" s="68"/>
      <c r="I44">
        <v>0.68479999999999996</v>
      </c>
      <c r="J44" s="194"/>
      <c r="K44" s="194"/>
      <c r="L44" s="97"/>
      <c r="M44" s="68"/>
      <c r="O44"/>
      <c r="P44" s="180"/>
      <c r="Q44" s="180"/>
      <c r="R44" s="180"/>
      <c r="S44" s="180"/>
      <c r="X44" s="302" t="e">
        <f>+X43/Z43</f>
        <v>#REF!</v>
      </c>
    </row>
    <row r="45" spans="1:28" hidden="1" x14ac:dyDescent="0.25">
      <c r="B45" s="91"/>
      <c r="C45" s="30"/>
      <c r="D45" s="30"/>
      <c r="E45" s="30"/>
      <c r="F45" s="30"/>
      <c r="G45" s="97"/>
      <c r="H45" s="68"/>
      <c r="J45" s="194"/>
      <c r="K45" s="194"/>
      <c r="L45" s="97"/>
      <c r="M45" s="68"/>
      <c r="O45"/>
      <c r="P45" s="97"/>
      <c r="Q45" s="97"/>
      <c r="R45" s="97"/>
      <c r="S45" s="97"/>
      <c r="Z45" s="97"/>
      <c r="AA45" s="97"/>
    </row>
    <row r="46" spans="1:28" x14ac:dyDescent="0.25">
      <c r="B46" s="30"/>
      <c r="C46" s="30"/>
      <c r="D46" s="30"/>
      <c r="E46" s="30"/>
      <c r="F46" s="30"/>
      <c r="G46" s="97"/>
      <c r="I46">
        <f>+I43/I44-1</f>
        <v>0.25556829448823382</v>
      </c>
      <c r="J46" s="194"/>
      <c r="K46" s="194"/>
      <c r="L46" s="97"/>
      <c r="O46"/>
      <c r="P46" s="180"/>
      <c r="Q46" s="180"/>
      <c r="R46" s="180"/>
      <c r="S46" s="180"/>
    </row>
    <row r="47" spans="1:28" x14ac:dyDescent="0.25">
      <c r="B47" s="30" t="s">
        <v>356</v>
      </c>
      <c r="C47" s="30"/>
      <c r="D47" s="30"/>
      <c r="E47" s="30"/>
      <c r="F47" s="30"/>
      <c r="G47" s="73" t="e">
        <f>+G43</f>
        <v>#REF!</v>
      </c>
      <c r="H47" s="62"/>
      <c r="I47" s="73">
        <f>+I43*1.105</f>
        <v>0.95009355071242441</v>
      </c>
      <c r="J47" s="194"/>
      <c r="K47" s="194"/>
      <c r="L47" s="73" t="e">
        <f>+L43</f>
        <v>#REF!</v>
      </c>
      <c r="M47" s="62"/>
      <c r="O47"/>
      <c r="P47" s="73">
        <f>+P43*1.105</f>
        <v>0.95009258155798937</v>
      </c>
      <c r="Q47" s="73">
        <f>+Q43*1.105</f>
        <v>1.2096875260889912</v>
      </c>
      <c r="R47" s="73"/>
      <c r="S47" s="73"/>
      <c r="T47" s="296" t="e">
        <f>+P47*X44</f>
        <v>#REF!</v>
      </c>
      <c r="U47" s="3" t="e">
        <f>+G47/P47-1</f>
        <v>#REF!</v>
      </c>
    </row>
    <row r="48" spans="1:28" x14ac:dyDescent="0.25">
      <c r="B48" s="30"/>
      <c r="C48" s="30"/>
      <c r="D48" s="30"/>
      <c r="E48" s="30"/>
      <c r="F48" s="30"/>
      <c r="G48" s="97"/>
      <c r="J48" s="194"/>
      <c r="K48" s="194"/>
      <c r="L48" s="97"/>
      <c r="O48"/>
      <c r="P48" s="181"/>
      <c r="Q48" s="181"/>
      <c r="R48" s="181"/>
      <c r="S48" s="181"/>
      <c r="T48" s="297"/>
    </row>
    <row r="49" spans="2:40" x14ac:dyDescent="0.25">
      <c r="B49" s="30" t="s">
        <v>362</v>
      </c>
      <c r="C49" s="30"/>
      <c r="D49" s="30"/>
      <c r="E49" s="30"/>
      <c r="F49" s="30"/>
      <c r="G49" s="97" t="e">
        <f>+G67</f>
        <v>#REF!</v>
      </c>
      <c r="J49" s="194"/>
      <c r="K49" s="194"/>
      <c r="L49" s="97">
        <v>0.75670000000000004</v>
      </c>
      <c r="O49"/>
      <c r="P49" s="220">
        <v>0.75670000000000004</v>
      </c>
      <c r="Q49" s="220">
        <v>0.75670000000000004</v>
      </c>
      <c r="R49" s="220"/>
      <c r="S49" s="220"/>
      <c r="T49" s="298" t="e">
        <f>+T47/P49-1</f>
        <v>#REF!</v>
      </c>
      <c r="U49" s="3" t="e">
        <f>+G49/P49-1</f>
        <v>#REF!</v>
      </c>
    </row>
    <row r="50" spans="2:40" ht="13.8" thickBot="1" x14ac:dyDescent="0.3">
      <c r="J50" s="194"/>
      <c r="K50" s="194"/>
      <c r="O50"/>
      <c r="P50" s="180"/>
      <c r="Q50" s="180"/>
      <c r="R50" s="180"/>
      <c r="S50" s="180"/>
    </row>
    <row r="51" spans="2:40" ht="24.75" customHeight="1" thickBot="1" x14ac:dyDescent="0.3">
      <c r="B51" s="390" t="s">
        <v>372</v>
      </c>
      <c r="C51" s="391"/>
      <c r="D51" s="391"/>
      <c r="E51" s="391"/>
      <c r="F51" s="391"/>
      <c r="G51" s="392" t="e">
        <f>+G47/G49-1</f>
        <v>#REF!</v>
      </c>
      <c r="H51" s="63"/>
      <c r="J51" s="194"/>
      <c r="K51" s="194"/>
      <c r="L51" s="203" t="e">
        <f>+L47/L49-1</f>
        <v>#REF!</v>
      </c>
      <c r="M51" s="63"/>
      <c r="O51"/>
      <c r="P51" s="389">
        <f>+P47/P49-1</f>
        <v>0.25557365079686711</v>
      </c>
      <c r="Q51" s="389">
        <f>+Q47/Q49-1</f>
        <v>0.59863555714152383</v>
      </c>
      <c r="R51" s="406"/>
      <c r="S51" s="406"/>
      <c r="T51" s="222"/>
      <c r="U51" s="3" t="e">
        <f>+G51/P51-1</f>
        <v>#REF!</v>
      </c>
      <c r="AB51" s="212" t="e">
        <f>+P43/Z43-1</f>
        <v>#REF!</v>
      </c>
    </row>
    <row r="52" spans="2:40" x14ac:dyDescent="0.25">
      <c r="J52" s="194"/>
      <c r="K52" s="194"/>
      <c r="O52"/>
    </row>
    <row r="53" spans="2:40" x14ac:dyDescent="0.25">
      <c r="G53" s="65"/>
      <c r="H53" s="65"/>
      <c r="J53" s="194"/>
      <c r="K53" s="194"/>
      <c r="L53" s="65"/>
      <c r="M53" s="65"/>
      <c r="O53"/>
      <c r="P53" s="64"/>
      <c r="Q53" s="64"/>
      <c r="R53" s="64"/>
      <c r="S53" s="64"/>
    </row>
    <row r="54" spans="2:40" hidden="1" x14ac:dyDescent="0.25">
      <c r="B54" s="8" t="s">
        <v>560</v>
      </c>
      <c r="G54" s="64"/>
      <c r="H54" s="64"/>
      <c r="J54" s="195"/>
      <c r="K54" s="195"/>
      <c r="L54" s="64"/>
      <c r="M54" s="64"/>
      <c r="O54" s="64"/>
    </row>
    <row r="55" spans="2:40" hidden="1" x14ac:dyDescent="0.25">
      <c r="B55" s="8" t="s">
        <v>558</v>
      </c>
      <c r="G55" s="10" t="e">
        <f>+G49</f>
        <v>#REF!</v>
      </c>
    </row>
    <row r="56" spans="2:40" hidden="1" x14ac:dyDescent="0.25">
      <c r="B56" s="8" t="s">
        <v>559</v>
      </c>
      <c r="G56" s="10" t="e">
        <f>+Z43</f>
        <v>#REF!</v>
      </c>
    </row>
    <row r="57" spans="2:40" hidden="1" x14ac:dyDescent="0.25"/>
    <row r="58" spans="2:40" hidden="1" x14ac:dyDescent="0.25">
      <c r="B58" s="8" t="s">
        <v>561</v>
      </c>
    </row>
    <row r="59" spans="2:40" hidden="1" x14ac:dyDescent="0.25">
      <c r="B59" s="8" t="s">
        <v>558</v>
      </c>
      <c r="G59" s="10" t="e">
        <f>+T47</f>
        <v>#REF!</v>
      </c>
      <c r="I59" s="65" t="e">
        <f>+G59/G55-1</f>
        <v>#REF!</v>
      </c>
    </row>
    <row r="60" spans="2:40" hidden="1" x14ac:dyDescent="0.25">
      <c r="B60" s="8" t="s">
        <v>559</v>
      </c>
      <c r="G60" s="10">
        <f>+P47</f>
        <v>0.95009258155798937</v>
      </c>
      <c r="I60" s="65" t="e">
        <f>+G60/G56-1</f>
        <v>#REF!</v>
      </c>
    </row>
    <row r="61" spans="2:40" x14ac:dyDescent="0.25">
      <c r="I61" s="10"/>
      <c r="J61" s="10"/>
      <c r="K61" s="10"/>
      <c r="N61" s="10"/>
      <c r="P61" s="10"/>
      <c r="Q61" s="10"/>
      <c r="R61" s="10"/>
      <c r="S61" s="10"/>
      <c r="T61" s="10"/>
      <c r="U61" s="10"/>
      <c r="V61" s="10"/>
      <c r="W61" s="10"/>
      <c r="X61" s="10"/>
      <c r="Y61" s="10"/>
      <c r="Z61" s="10"/>
      <c r="AA61" s="10"/>
      <c r="AB61" s="10"/>
    </row>
    <row r="62" spans="2:40" x14ac:dyDescent="0.25">
      <c r="P62" s="65"/>
      <c r="Q62" s="65"/>
      <c r="R62" s="65"/>
      <c r="S62" s="65"/>
      <c r="T62" s="304"/>
      <c r="V62">
        <v>3903861</v>
      </c>
    </row>
    <row r="63" spans="2:40" x14ac:dyDescent="0.25">
      <c r="B63" t="s">
        <v>355</v>
      </c>
      <c r="C63" t="s">
        <v>357</v>
      </c>
      <c r="G63" s="208" t="e">
        <f>+#REF!</f>
        <v>#REF!</v>
      </c>
      <c r="I63" s="208">
        <v>318307802.19999999</v>
      </c>
      <c r="P63" s="208"/>
      <c r="Q63" s="208">
        <f>+I75+I76</f>
        <v>250000000</v>
      </c>
      <c r="R63" s="208"/>
      <c r="S63" s="208"/>
      <c r="U63" s="65" t="e">
        <f>+P63/G63-1</f>
        <v>#REF!</v>
      </c>
      <c r="V63">
        <f>390/361</f>
        <v>1.0803324099722991</v>
      </c>
    </row>
    <row r="64" spans="2:40" x14ac:dyDescent="0.25">
      <c r="I64" s="208"/>
      <c r="Q64" s="208"/>
      <c r="AN64">
        <f>266/240</f>
        <v>1.1083333333333334</v>
      </c>
    </row>
    <row r="65" spans="2:21" x14ac:dyDescent="0.25">
      <c r="B65" t="s">
        <v>180</v>
      </c>
      <c r="C65" t="s">
        <v>181</v>
      </c>
      <c r="G65" s="388" t="e">
        <f>+#REF!</f>
        <v>#REF!</v>
      </c>
      <c r="I65" s="388">
        <v>13543739</v>
      </c>
      <c r="P65" s="388"/>
      <c r="Q65" s="388">
        <v>13543739</v>
      </c>
      <c r="R65" s="388"/>
      <c r="S65" s="388"/>
      <c r="U65" s="65" t="e">
        <f>+P65/G65-1</f>
        <v>#REF!</v>
      </c>
    </row>
    <row r="67" spans="2:21" x14ac:dyDescent="0.25">
      <c r="B67" t="s">
        <v>356</v>
      </c>
      <c r="C67" t="s">
        <v>358</v>
      </c>
      <c r="G67" s="10" t="e">
        <f>+#REF!</f>
        <v>#REF!</v>
      </c>
      <c r="I67" s="393">
        <v>0.68479999999999996</v>
      </c>
      <c r="P67" s="393"/>
      <c r="Q67" s="393">
        <v>0.68479999999999996</v>
      </c>
      <c r="R67" s="393"/>
      <c r="S67" s="393"/>
      <c r="U67" s="65" t="e">
        <f>+P67/G67-1</f>
        <v>#REF!</v>
      </c>
    </row>
    <row r="69" spans="2:21" x14ac:dyDescent="0.25">
      <c r="I69">
        <f>+I65*I67</f>
        <v>9274752.4671999998</v>
      </c>
      <c r="P69" s="208"/>
      <c r="Q69">
        <f>+Q65*Q67</f>
        <v>9274752.4671999998</v>
      </c>
      <c r="R69" s="208"/>
      <c r="S69" s="208"/>
    </row>
    <row r="70" spans="2:21" x14ac:dyDescent="0.25">
      <c r="P70" s="208"/>
      <c r="R70" s="208"/>
      <c r="S70" s="208"/>
    </row>
    <row r="71" spans="2:21" x14ac:dyDescent="0.25">
      <c r="P71" s="208"/>
      <c r="R71" s="208"/>
      <c r="S71" s="208"/>
    </row>
    <row r="72" spans="2:21" x14ac:dyDescent="0.25">
      <c r="I72" s="208"/>
      <c r="J72" s="208"/>
      <c r="K72" s="208"/>
      <c r="L72" s="208"/>
      <c r="P72" s="208"/>
      <c r="Q72" s="208"/>
      <c r="R72" s="208"/>
      <c r="S72" s="208"/>
    </row>
    <row r="73" spans="2:21" x14ac:dyDescent="0.25">
      <c r="I73" s="208">
        <f>+I63/I69</f>
        <v>34.319816439920089</v>
      </c>
      <c r="J73" s="208"/>
      <c r="K73" s="208"/>
      <c r="L73" s="208"/>
      <c r="Q73" s="208">
        <f>+Q63/Q69</f>
        <v>26.954897274522487</v>
      </c>
    </row>
    <row r="74" spans="2:21" x14ac:dyDescent="0.25">
      <c r="I74" s="1395"/>
      <c r="J74" s="1395"/>
      <c r="K74" s="1395"/>
      <c r="L74" s="1395"/>
    </row>
    <row r="75" spans="2:21" x14ac:dyDescent="0.25">
      <c r="I75" s="211">
        <v>70000000</v>
      </c>
    </row>
    <row r="76" spans="2:21" x14ac:dyDescent="0.25">
      <c r="I76">
        <v>180000000</v>
      </c>
    </row>
  </sheetData>
  <mergeCells count="2">
    <mergeCell ref="B1:G1"/>
    <mergeCell ref="I74:L74"/>
  </mergeCells>
  <printOptions horizontalCentered="1"/>
  <pageMargins left="0.31496062992125984" right="0.23622047244094491" top="1.0236220472440944" bottom="0.51181102362204722" header="0.27559055118110237" footer="0"/>
  <pageSetup scale="69" orientation="landscape" r:id="rId1"/>
  <headerFooter alignWithMargins="0">
    <oddHeader>&amp;L&amp;G&amp;RCdor.Lucas S.Gonzalez E.</oddHeader>
    <oddFooter>&amp;L&amp;8&amp;Z&amp;F&amp;R&amp;8&amp;D&amp;T</oddFooter>
  </headerFooter>
  <drawing r:id="rId2"/>
  <legacyDrawingHF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FF00"/>
  </sheetPr>
  <dimension ref="A1:U618"/>
  <sheetViews>
    <sheetView showGridLines="0" topLeftCell="A561" zoomScale="90" zoomScaleNormal="90" zoomScaleSheetLayoutView="85" workbookViewId="0">
      <selection activeCell="Q592" sqref="Q592"/>
    </sheetView>
  </sheetViews>
  <sheetFormatPr baseColWidth="10" defaultColWidth="11.44140625" defaultRowHeight="13.2" x14ac:dyDescent="0.25"/>
  <cols>
    <col min="1" max="1" width="11.6640625" style="665" customWidth="1"/>
    <col min="2" max="2" width="3.109375" style="665" customWidth="1"/>
    <col min="3" max="3" width="19.33203125" style="314" customWidth="1"/>
    <col min="4" max="4" width="15.5546875" style="314" customWidth="1"/>
    <col min="5" max="5" width="13" style="314" customWidth="1"/>
    <col min="6" max="6" width="25" style="314" customWidth="1"/>
    <col min="7" max="7" width="25.88671875" style="685" customWidth="1"/>
    <col min="8" max="8" width="10.6640625" style="314" customWidth="1"/>
    <col min="9" max="9" width="2.88671875" style="687" hidden="1" customWidth="1"/>
    <col min="10" max="10" width="17.44140625" style="314" hidden="1" customWidth="1"/>
    <col min="11" max="11" width="24.109375" style="97" customWidth="1"/>
    <col min="12" max="12" width="9" style="314" customWidth="1"/>
    <col min="13" max="13" width="21.44140625" style="314" customWidth="1"/>
    <col min="14" max="14" width="13" style="97" bestFit="1" customWidth="1"/>
    <col min="15" max="15" width="13.33203125" style="314" customWidth="1"/>
    <col min="16" max="16" width="17.5546875" style="314" bestFit="1" customWidth="1"/>
    <col min="17" max="17" width="26.5546875" style="314" customWidth="1"/>
    <col min="18" max="18" width="17" style="314" bestFit="1" customWidth="1"/>
    <col min="19" max="19" width="23.44140625" style="314" customWidth="1"/>
    <col min="20" max="20" width="37" style="314" bestFit="1" customWidth="1"/>
    <col min="21" max="16384" width="11.44140625" style="314"/>
  </cols>
  <sheetData>
    <row r="1" spans="1:15" s="665" customFormat="1" ht="15.75" customHeight="1" x14ac:dyDescent="0.25">
      <c r="A1" s="661" t="s">
        <v>0</v>
      </c>
      <c r="B1" s="662"/>
      <c r="C1" s="662" t="s">
        <v>1</v>
      </c>
      <c r="D1" s="662"/>
      <c r="E1" s="662"/>
      <c r="F1" s="662"/>
      <c r="G1" s="663"/>
      <c r="H1" s="662"/>
      <c r="I1" s="662"/>
      <c r="J1" s="662"/>
      <c r="K1" s="101"/>
      <c r="L1" s="662"/>
      <c r="M1" s="664"/>
      <c r="N1" s="487"/>
    </row>
    <row r="3" spans="1:15" s="665" customFormat="1" ht="17.399999999999999" x14ac:dyDescent="0.25">
      <c r="A3" s="666" t="s">
        <v>2</v>
      </c>
      <c r="B3" s="667"/>
      <c r="C3" s="667" t="s">
        <v>3</v>
      </c>
      <c r="D3" s="667"/>
      <c r="E3" s="667"/>
      <c r="F3" s="667"/>
      <c r="G3" s="668" t="s">
        <v>24</v>
      </c>
      <c r="H3" s="667"/>
      <c r="I3" s="667"/>
      <c r="J3" s="667"/>
      <c r="K3" s="428"/>
      <c r="L3" s="667"/>
      <c r="M3" s="667"/>
      <c r="N3" s="427">
        <f>+N49+N59</f>
        <v>651.09732684301537</v>
      </c>
      <c r="O3" s="669"/>
    </row>
    <row r="5" spans="1:15" s="665" customFormat="1" x14ac:dyDescent="0.25">
      <c r="A5" s="1456" t="s">
        <v>191</v>
      </c>
      <c r="B5" s="1228"/>
      <c r="C5" s="1464" t="s">
        <v>192</v>
      </c>
      <c r="D5" s="1464"/>
      <c r="E5" s="1456" t="s">
        <v>4</v>
      </c>
      <c r="F5" s="1473" t="str">
        <f>ROUND(K10,4)&amp;" . "&amp;K12&amp;" . "&amp;ROUND(K16,4)&amp;" . "&amp;ROUND(K21,4)&amp;" . "&amp;K23&amp;" . "&amp;K27</f>
        <v>0,4344 . 192 . 5445,3036 . 1,2308 . 1,0667 . 2,5</v>
      </c>
      <c r="G5" s="1473"/>
      <c r="H5" s="1473"/>
      <c r="I5" s="1473"/>
      <c r="J5" s="1456" t="s">
        <v>4</v>
      </c>
      <c r="K5" s="1465">
        <f>+(K10*K12*K16*K21*K27*K23)/K25</f>
        <v>205.15174497005248</v>
      </c>
      <c r="L5" s="670"/>
      <c r="M5" s="670"/>
      <c r="N5" s="670"/>
      <c r="O5" s="670"/>
    </row>
    <row r="6" spans="1:15" s="665" customFormat="1" x14ac:dyDescent="0.25">
      <c r="A6" s="1456"/>
      <c r="B6" s="1228"/>
      <c r="C6" s="1456" t="s">
        <v>329</v>
      </c>
      <c r="D6" s="1456"/>
      <c r="E6" s="1456"/>
      <c r="F6" s="1471">
        <f>+ROUND(K25,0)</f>
        <v>7266</v>
      </c>
      <c r="G6" s="1471"/>
      <c r="H6" s="1471"/>
      <c r="I6" s="1471"/>
      <c r="J6" s="1456"/>
      <c r="K6" s="1465"/>
      <c r="L6" s="670"/>
      <c r="M6" s="670"/>
      <c r="N6" s="670"/>
      <c r="O6" s="670"/>
    </row>
    <row r="7" spans="1:15" x14ac:dyDescent="0.25">
      <c r="A7" s="670"/>
      <c r="B7" s="670"/>
      <c r="C7" s="671"/>
      <c r="D7" s="671"/>
      <c r="E7" s="671"/>
      <c r="F7" s="671"/>
      <c r="G7" s="672"/>
      <c r="H7" s="671"/>
      <c r="I7" s="673"/>
      <c r="J7" s="671"/>
      <c r="K7" s="430"/>
      <c r="L7" s="671"/>
      <c r="M7" s="671"/>
      <c r="N7" s="430"/>
      <c r="O7" s="671"/>
    </row>
    <row r="8" spans="1:15" x14ac:dyDescent="0.25">
      <c r="A8" s="673" t="s">
        <v>5</v>
      </c>
      <c r="B8" s="673"/>
      <c r="C8" s="671"/>
      <c r="D8" s="671"/>
      <c r="E8" s="671"/>
      <c r="F8" s="671"/>
      <c r="G8" s="672"/>
      <c r="H8" s="671"/>
      <c r="I8" s="673"/>
      <c r="J8" s="671"/>
      <c r="K8" s="430"/>
      <c r="L8" s="671"/>
      <c r="M8" s="671"/>
      <c r="N8" s="430"/>
      <c r="O8" s="671"/>
    </row>
    <row r="9" spans="1:15" x14ac:dyDescent="0.25">
      <c r="A9" s="670"/>
      <c r="B9" s="670"/>
      <c r="C9" s="671"/>
      <c r="D9" s="671"/>
      <c r="E9" s="671"/>
      <c r="F9" s="671"/>
      <c r="G9" s="672"/>
      <c r="H9" s="671"/>
      <c r="I9" s="673"/>
      <c r="J9" s="671"/>
      <c r="K9" s="430"/>
      <c r="L9" s="671"/>
      <c r="M9" s="671"/>
      <c r="N9" s="430"/>
      <c r="O9" s="671"/>
    </row>
    <row r="10" spans="1:15" x14ac:dyDescent="0.25">
      <c r="A10" s="674" t="s">
        <v>193</v>
      </c>
      <c r="B10" s="1228"/>
      <c r="C10" s="673" t="s">
        <v>194</v>
      </c>
      <c r="D10" s="671"/>
      <c r="E10" s="671"/>
      <c r="F10" s="671"/>
      <c r="G10" s="672"/>
      <c r="H10" s="671"/>
      <c r="I10" s="673"/>
      <c r="J10" s="671"/>
      <c r="K10" s="1247">
        <f>'Hoja Llave'!O41</f>
        <v>0.43440000000000001</v>
      </c>
      <c r="L10" s="671"/>
      <c r="M10" s="675"/>
      <c r="N10" s="430"/>
      <c r="O10" s="671"/>
    </row>
    <row r="11" spans="1:15" x14ac:dyDescent="0.25">
      <c r="A11" s="670"/>
      <c r="B11" s="670"/>
      <c r="C11" s="671"/>
      <c r="D11" s="671"/>
      <c r="E11" s="671"/>
      <c r="F11" s="671"/>
      <c r="G11" s="672"/>
      <c r="H11" s="671"/>
      <c r="I11" s="673"/>
      <c r="J11" s="671"/>
      <c r="K11" s="430"/>
      <c r="L11" s="671"/>
      <c r="M11" s="671"/>
      <c r="N11" s="430"/>
      <c r="O11" s="671"/>
    </row>
    <row r="12" spans="1:15" x14ac:dyDescent="0.25">
      <c r="A12" s="674" t="s">
        <v>12</v>
      </c>
      <c r="B12" s="1228"/>
      <c r="C12" s="671" t="s">
        <v>6</v>
      </c>
      <c r="D12" s="671"/>
      <c r="E12" s="671"/>
      <c r="F12" s="671"/>
      <c r="G12" s="672"/>
      <c r="H12" s="671"/>
      <c r="I12" s="673"/>
      <c r="J12" s="671"/>
      <c r="K12" s="1247">
        <f>'Hoja Llave'!O3</f>
        <v>192</v>
      </c>
      <c r="L12" s="671">
        <f>K10*K12*K16*K21*K23*K27</f>
        <v>1490637.6341642588</v>
      </c>
      <c r="M12" s="675">
        <f>L12/K25</f>
        <v>205.1517449700525</v>
      </c>
      <c r="N12" s="430"/>
      <c r="O12" s="671"/>
    </row>
    <row r="13" spans="1:15" x14ac:dyDescent="0.25">
      <c r="A13" s="1228"/>
      <c r="B13" s="1228"/>
      <c r="C13" s="671"/>
      <c r="D13" s="671"/>
      <c r="E13" s="671"/>
      <c r="F13" s="671"/>
      <c r="G13" s="672"/>
      <c r="H13" s="671"/>
      <c r="I13" s="673"/>
      <c r="J13" s="671"/>
      <c r="K13" s="1247"/>
      <c r="L13" s="671"/>
      <c r="M13" s="675"/>
      <c r="N13" s="430"/>
      <c r="O13" s="671"/>
    </row>
    <row r="14" spans="1:15" ht="21.75" customHeight="1" x14ac:dyDescent="0.25">
      <c r="A14" s="1230"/>
      <c r="B14" s="1228"/>
      <c r="C14" s="671"/>
      <c r="D14" s="671"/>
      <c r="E14" s="671"/>
      <c r="F14" s="671"/>
      <c r="G14" s="672"/>
      <c r="H14" s="671"/>
      <c r="I14" s="673"/>
      <c r="J14" s="671"/>
      <c r="K14" s="1253"/>
      <c r="L14" s="671"/>
      <c r="M14" s="675"/>
      <c r="N14" s="430"/>
      <c r="O14" s="671"/>
    </row>
    <row r="15" spans="1:15" ht="24.75" customHeight="1" x14ac:dyDescent="0.25">
      <c r="A15" s="1232"/>
      <c r="B15" s="1232"/>
      <c r="C15" s="704"/>
      <c r="D15" s="704"/>
      <c r="E15" s="704"/>
      <c r="F15" s="704"/>
      <c r="G15" s="1231"/>
      <c r="H15" s="704"/>
      <c r="I15" s="731"/>
      <c r="J15" s="704"/>
      <c r="K15" s="1256"/>
      <c r="L15" s="704"/>
      <c r="M15" s="671"/>
      <c r="N15" s="430"/>
      <c r="O15" s="671"/>
    </row>
    <row r="16" spans="1:15" ht="18.75" customHeight="1" x14ac:dyDescent="0.25">
      <c r="A16" s="1477" t="s">
        <v>195</v>
      </c>
      <c r="B16" s="1477"/>
      <c r="C16" s="731" t="str">
        <f>"Sueldo básico de convenio conductor guarda único c/ 10 años de antigüedad $950453 x1,1)"</f>
        <v>Sueldo básico de convenio conductor guarda único c/ 10 años de antigüedad $950453 x1,1)</v>
      </c>
      <c r="D16" s="704"/>
      <c r="E16" s="704"/>
      <c r="F16" s="704"/>
      <c r="G16" s="704"/>
      <c r="H16" s="704"/>
      <c r="I16" s="731"/>
      <c r="J16" s="704"/>
      <c r="K16" s="1478">
        <f>'Hoja Llave'!O39</f>
        <v>5445.3036458333336</v>
      </c>
      <c r="L16" s="704"/>
      <c r="M16" s="675"/>
      <c r="N16" s="430"/>
      <c r="O16" s="671"/>
    </row>
    <row r="17" spans="1:15" x14ac:dyDescent="0.25">
      <c r="A17" s="1477"/>
      <c r="B17" s="1477"/>
      <c r="C17" s="1479" t="s">
        <v>7</v>
      </c>
      <c r="D17" s="1479"/>
      <c r="E17" s="1479"/>
      <c r="F17" s="1479"/>
      <c r="G17" s="1479"/>
      <c r="H17" s="1479"/>
      <c r="I17" s="731"/>
      <c r="J17" s="704"/>
      <c r="K17" s="1478"/>
      <c r="L17" s="704"/>
      <c r="M17" s="671"/>
      <c r="N17" s="430"/>
      <c r="O17" s="671"/>
    </row>
    <row r="18" spans="1:15" x14ac:dyDescent="0.25">
      <c r="A18" s="1232"/>
      <c r="B18" s="1232"/>
      <c r="C18" s="704"/>
      <c r="D18" s="704"/>
      <c r="E18" s="704"/>
      <c r="F18" s="704"/>
      <c r="G18" s="1231"/>
      <c r="H18" s="704"/>
      <c r="I18" s="731"/>
      <c r="J18" s="704"/>
      <c r="K18" s="1256"/>
      <c r="L18" s="704"/>
      <c r="M18" s="671"/>
      <c r="N18" s="430"/>
      <c r="O18" s="671"/>
    </row>
    <row r="19" spans="1:15" x14ac:dyDescent="0.25">
      <c r="A19" s="1232"/>
      <c r="B19" s="1232"/>
      <c r="C19" s="704"/>
      <c r="D19" s="704"/>
      <c r="E19" s="704"/>
      <c r="F19" s="704"/>
      <c r="G19" s="1231"/>
      <c r="H19" s="704"/>
      <c r="I19" s="731"/>
      <c r="J19" s="704"/>
      <c r="K19" s="1256"/>
      <c r="L19" s="704"/>
      <c r="M19" s="671"/>
      <c r="N19" s="430"/>
      <c r="O19" s="671"/>
    </row>
    <row r="20" spans="1:15" x14ac:dyDescent="0.25">
      <c r="A20" s="1232"/>
      <c r="B20" s="670"/>
      <c r="C20" s="671"/>
      <c r="D20" s="671"/>
      <c r="E20" s="671"/>
      <c r="F20" s="671"/>
      <c r="G20" s="672"/>
      <c r="H20" s="671"/>
      <c r="I20" s="673"/>
      <c r="J20" s="671"/>
      <c r="K20" s="430"/>
      <c r="L20" s="671"/>
      <c r="M20" s="671"/>
      <c r="N20" s="430"/>
      <c r="O20" s="671"/>
    </row>
    <row r="21" spans="1:15" x14ac:dyDescent="0.25">
      <c r="A21" s="674" t="s">
        <v>11</v>
      </c>
      <c r="B21" s="1228"/>
      <c r="C21" s="671" t="s">
        <v>170</v>
      </c>
      <c r="D21" s="671"/>
      <c r="E21" s="671"/>
      <c r="F21" s="671"/>
      <c r="G21" s="672"/>
      <c r="H21" s="671"/>
      <c r="I21" s="673"/>
      <c r="J21" s="671"/>
      <c r="K21" s="1247">
        <f>'Hoja Llave'!O4</f>
        <v>1.2307692307692308</v>
      </c>
      <c r="L21" s="671"/>
      <c r="M21" s="678">
        <v>35.33</v>
      </c>
      <c r="N21" s="421">
        <f>K12/(K12-M21)</f>
        <v>1.22550584030127</v>
      </c>
      <c r="O21" s="671"/>
    </row>
    <row r="22" spans="1:15" x14ac:dyDescent="0.25">
      <c r="A22" s="674"/>
      <c r="B22" s="1228"/>
      <c r="C22" s="671"/>
      <c r="D22" s="671"/>
      <c r="E22" s="671"/>
      <c r="F22" s="671"/>
      <c r="G22" s="672"/>
      <c r="H22" s="671"/>
      <c r="I22" s="673"/>
      <c r="J22" s="671"/>
      <c r="K22" s="430"/>
      <c r="L22" s="671"/>
      <c r="M22" s="671"/>
      <c r="N22" s="430"/>
      <c r="O22" s="671"/>
    </row>
    <row r="23" spans="1:15" x14ac:dyDescent="0.25">
      <c r="A23" s="674" t="s">
        <v>197</v>
      </c>
      <c r="B23" s="1228"/>
      <c r="C23" s="673" t="s">
        <v>198</v>
      </c>
      <c r="D23" s="671"/>
      <c r="E23" s="671"/>
      <c r="F23" s="671"/>
      <c r="G23" s="672"/>
      <c r="H23" s="671"/>
      <c r="I23" s="673"/>
      <c r="J23" s="671"/>
      <c r="K23" s="1247">
        <f>'Hoja Llave'!O44</f>
        <v>1.0667</v>
      </c>
      <c r="L23" s="671"/>
      <c r="M23" s="675"/>
      <c r="N23" s="430"/>
      <c r="O23" s="671"/>
    </row>
    <row r="24" spans="1:15" x14ac:dyDescent="0.25">
      <c r="A24" s="674"/>
      <c r="B24" s="1228"/>
      <c r="C24" s="671"/>
      <c r="D24" s="671"/>
      <c r="E24" s="671"/>
      <c r="F24" s="671"/>
      <c r="G24" s="672"/>
      <c r="H24" s="671"/>
      <c r="I24" s="673"/>
      <c r="J24" s="671"/>
      <c r="K24" s="430"/>
      <c r="L24" s="671"/>
      <c r="M24" s="671"/>
      <c r="N24" s="430"/>
      <c r="O24" s="671"/>
    </row>
    <row r="25" spans="1:15" x14ac:dyDescent="0.25">
      <c r="A25" s="674" t="s">
        <v>329</v>
      </c>
      <c r="B25" s="1228"/>
      <c r="C25" s="673" t="s">
        <v>196</v>
      </c>
      <c r="D25" s="671"/>
      <c r="E25" s="671"/>
      <c r="F25" s="671"/>
      <c r="G25" s="672"/>
      <c r="H25" s="671"/>
      <c r="I25" s="673"/>
      <c r="J25" s="671"/>
      <c r="K25" s="679">
        <f>'Hoja Llave'!O30</f>
        <v>7266.0246413300456</v>
      </c>
      <c r="L25" s="671"/>
      <c r="M25" s="678"/>
      <c r="N25" s="430"/>
      <c r="O25" s="671"/>
    </row>
    <row r="26" spans="1:15" x14ac:dyDescent="0.25">
      <c r="A26" s="674"/>
      <c r="B26" s="1228"/>
      <c r="C26" s="671"/>
      <c r="D26" s="671"/>
      <c r="E26" s="671"/>
      <c r="F26" s="671"/>
      <c r="G26" s="672"/>
      <c r="H26" s="671"/>
      <c r="I26" s="673"/>
      <c r="J26" s="671"/>
      <c r="K26" s="430"/>
      <c r="L26" s="671"/>
      <c r="M26" s="671"/>
      <c r="N26" s="430"/>
      <c r="O26" s="671"/>
    </row>
    <row r="27" spans="1:15" x14ac:dyDescent="0.25">
      <c r="A27" s="674" t="s">
        <v>199</v>
      </c>
      <c r="B27" s="1228"/>
      <c r="C27" s="673" t="s">
        <v>200</v>
      </c>
      <c r="D27" s="671"/>
      <c r="E27" s="671"/>
      <c r="F27" s="671"/>
      <c r="G27" s="672"/>
      <c r="H27" s="671"/>
      <c r="I27" s="673"/>
      <c r="J27" s="671"/>
      <c r="K27" s="1247">
        <f>'Hoja Llave'!O31</f>
        <v>2.5</v>
      </c>
      <c r="L27" s="671"/>
      <c r="M27" s="675"/>
      <c r="N27" s="430"/>
      <c r="O27" s="671"/>
    </row>
    <row r="28" spans="1:15" x14ac:dyDescent="0.25">
      <c r="A28" s="674"/>
      <c r="B28" s="1228"/>
      <c r="C28" s="671"/>
      <c r="D28" s="671"/>
      <c r="E28" s="671"/>
      <c r="F28" s="671"/>
      <c r="G28" s="672"/>
      <c r="H28" s="671"/>
      <c r="I28" s="673"/>
      <c r="J28" s="671"/>
      <c r="K28" s="430"/>
      <c r="L28" s="671"/>
      <c r="M28" s="671"/>
      <c r="N28" s="430"/>
      <c r="O28" s="671"/>
    </row>
    <row r="29" spans="1:15" x14ac:dyDescent="0.25">
      <c r="A29" s="674"/>
      <c r="B29" s="1228"/>
      <c r="C29" s="671"/>
      <c r="D29" s="671"/>
      <c r="E29" s="671"/>
      <c r="F29" s="671"/>
      <c r="G29" s="672"/>
      <c r="H29" s="671"/>
      <c r="I29" s="673"/>
      <c r="J29" s="671"/>
      <c r="K29" s="430"/>
      <c r="L29" s="671"/>
      <c r="M29" s="671"/>
      <c r="N29" s="430"/>
      <c r="O29" s="671"/>
    </row>
    <row r="30" spans="1:15" x14ac:dyDescent="0.25">
      <c r="A30" s="674" t="s">
        <v>768</v>
      </c>
      <c r="B30" s="1228"/>
      <c r="C30" s="1480" t="s">
        <v>330</v>
      </c>
      <c r="D30" s="1480"/>
      <c r="E30" s="1480"/>
      <c r="F30" s="680" t="s">
        <v>4</v>
      </c>
      <c r="G30" s="1464" t="str">
        <f>ROUND(K35,4)&amp;" . "&amp;K37&amp;" . "&amp;ROUND(K39,4)&amp;" . "&amp;ROUND(K41,4)&amp;" . "&amp;ROUND(K43,4)&amp;" . "&amp;K47</f>
        <v>0,5656 . 192 . 5445,3036 . 1,2308 . 1,1429 . 3</v>
      </c>
      <c r="H30" s="1464"/>
      <c r="I30" s="1464"/>
      <c r="J30" s="681" t="s">
        <v>4</v>
      </c>
      <c r="K30" s="431">
        <f>+(K35*K37*K39*K41*K43*K47)/(K45)</f>
        <v>317.4694833834555</v>
      </c>
      <c r="L30" s="671"/>
      <c r="M30" s="671"/>
      <c r="N30" s="430"/>
      <c r="O30" s="671"/>
    </row>
    <row r="31" spans="1:15" x14ac:dyDescent="0.25">
      <c r="A31" s="674"/>
      <c r="B31" s="1228"/>
      <c r="C31" s="1481" t="s">
        <v>369</v>
      </c>
      <c r="D31" s="1481"/>
      <c r="E31" s="1481"/>
      <c r="F31" s="682"/>
      <c r="G31" s="1469">
        <f>ROUND(K45,0)</f>
        <v>7860</v>
      </c>
      <c r="H31" s="1469"/>
      <c r="I31" s="1469"/>
      <c r="J31" s="683"/>
      <c r="K31" s="421"/>
      <c r="L31" s="671"/>
      <c r="M31" s="670"/>
      <c r="N31" s="430"/>
      <c r="O31" s="671"/>
    </row>
    <row r="32" spans="1:15" x14ac:dyDescent="0.25">
      <c r="A32" s="674"/>
      <c r="B32" s="1228"/>
      <c r="C32" s="671"/>
      <c r="D32" s="671"/>
      <c r="E32" s="671"/>
      <c r="F32" s="671"/>
      <c r="G32" s="672"/>
      <c r="H32" s="671"/>
      <c r="I32" s="673"/>
      <c r="J32" s="671"/>
      <c r="K32" s="430"/>
      <c r="L32" s="671"/>
      <c r="M32" s="671"/>
      <c r="N32" s="430"/>
      <c r="O32" s="671"/>
    </row>
    <row r="33" spans="1:19" x14ac:dyDescent="0.25">
      <c r="A33" s="674" t="s">
        <v>202</v>
      </c>
      <c r="B33" s="1228"/>
      <c r="C33" s="671"/>
      <c r="D33" s="671"/>
      <c r="E33" s="671"/>
      <c r="F33" s="671"/>
      <c r="G33" s="672"/>
      <c r="H33" s="671"/>
      <c r="I33" s="673"/>
      <c r="J33" s="671"/>
      <c r="K33" s="430"/>
      <c r="L33" s="671"/>
      <c r="M33" s="671"/>
      <c r="N33" s="430"/>
      <c r="O33" s="671"/>
    </row>
    <row r="34" spans="1:19" x14ac:dyDescent="0.25">
      <c r="A34" s="674"/>
      <c r="B34" s="1228"/>
      <c r="C34" s="671"/>
      <c r="D34" s="671"/>
      <c r="E34" s="671"/>
      <c r="F34" s="671"/>
      <c r="G34" s="672"/>
      <c r="H34" s="671"/>
      <c r="I34" s="673"/>
      <c r="J34" s="671"/>
      <c r="K34" s="430"/>
      <c r="L34" s="671"/>
      <c r="M34" s="671"/>
      <c r="N34" s="430"/>
      <c r="O34" s="671"/>
    </row>
    <row r="35" spans="1:19" x14ac:dyDescent="0.25">
      <c r="A35" s="674" t="s">
        <v>203</v>
      </c>
      <c r="B35" s="1228"/>
      <c r="C35" s="673" t="s">
        <v>206</v>
      </c>
      <c r="D35" s="671"/>
      <c r="E35" s="671"/>
      <c r="F35" s="671"/>
      <c r="G35" s="672"/>
      <c r="H35" s="671"/>
      <c r="I35" s="673"/>
      <c r="J35" s="671"/>
      <c r="K35" s="1247">
        <f>'Hoja Llave'!O42</f>
        <v>0.56559999999999999</v>
      </c>
      <c r="L35" s="671"/>
      <c r="M35" s="675"/>
      <c r="N35" s="430"/>
      <c r="O35" s="671"/>
    </row>
    <row r="36" spans="1:19" x14ac:dyDescent="0.25">
      <c r="A36" s="674"/>
      <c r="B36" s="1228"/>
      <c r="C36" s="671"/>
      <c r="D36" s="671"/>
      <c r="E36" s="671"/>
      <c r="F36" s="671"/>
      <c r="G36" s="672"/>
      <c r="H36" s="671"/>
      <c r="I36" s="673"/>
      <c r="J36" s="671"/>
      <c r="K36" s="430"/>
      <c r="L36" s="671"/>
      <c r="M36" s="675"/>
      <c r="N36" s="430"/>
      <c r="O36" s="671"/>
    </row>
    <row r="37" spans="1:19" x14ac:dyDescent="0.25">
      <c r="A37" s="674" t="s">
        <v>174</v>
      </c>
      <c r="B37" s="1228"/>
      <c r="C37" s="673" t="s">
        <v>6</v>
      </c>
      <c r="D37" s="671"/>
      <c r="E37" s="671"/>
      <c r="F37" s="671"/>
      <c r="G37" s="672"/>
      <c r="H37" s="671"/>
      <c r="I37" s="673"/>
      <c r="J37" s="671"/>
      <c r="K37" s="1247">
        <f>'Hoja Llave'!O3</f>
        <v>192</v>
      </c>
      <c r="L37" s="671"/>
      <c r="M37" s="675"/>
      <c r="N37" s="430"/>
      <c r="O37" s="671"/>
    </row>
    <row r="38" spans="1:19" x14ac:dyDescent="0.25">
      <c r="A38" s="674"/>
      <c r="B38" s="1228"/>
      <c r="C38" s="671"/>
      <c r="D38" s="671"/>
      <c r="E38" s="671"/>
      <c r="F38" s="671"/>
      <c r="G38" s="672"/>
      <c r="H38" s="671"/>
      <c r="I38" s="673"/>
      <c r="J38" s="671"/>
      <c r="K38" s="430"/>
      <c r="L38" s="671"/>
      <c r="M38" s="675"/>
      <c r="N38" s="430"/>
      <c r="O38" s="671"/>
    </row>
    <row r="39" spans="1:19" x14ac:dyDescent="0.25">
      <c r="A39" s="674" t="s">
        <v>204</v>
      </c>
      <c r="B39" s="1228"/>
      <c r="C39" s="676" t="str">
        <f>"Sueldo básico de convenio conductor guarda único c/ 10 años de antigüedad ("&amp;'Hoja Llave'!O48&amp;" x 1,1)"</f>
        <v>Sueldo básico de convenio conductor guarda único c/ 10 años de antigüedad (950453 x 1,1)</v>
      </c>
      <c r="D39" s="676"/>
      <c r="E39" s="676"/>
      <c r="F39" s="676"/>
      <c r="G39" s="676"/>
      <c r="H39" s="671"/>
      <c r="I39" s="673"/>
      <c r="J39" s="671"/>
      <c r="K39" s="1247">
        <f>'Hoja Llave'!O40</f>
        <v>5445.3036458333336</v>
      </c>
      <c r="L39" s="671"/>
      <c r="M39" s="675"/>
      <c r="N39" s="430"/>
      <c r="O39" s="671"/>
      <c r="Q39" s="684" t="s">
        <v>705</v>
      </c>
    </row>
    <row r="40" spans="1:19" x14ac:dyDescent="0.25">
      <c r="A40" s="674"/>
      <c r="B40" s="1228"/>
      <c r="C40" s="1472" t="s">
        <v>207</v>
      </c>
      <c r="D40" s="1472"/>
      <c r="E40" s="1472"/>
      <c r="F40" s="1472"/>
      <c r="G40" s="1472"/>
      <c r="H40" s="671"/>
      <c r="I40" s="673"/>
      <c r="J40" s="671"/>
      <c r="K40" s="430"/>
      <c r="L40" s="671"/>
      <c r="M40" s="675"/>
      <c r="N40" s="430"/>
      <c r="O40" s="671"/>
      <c r="Q40" s="685">
        <f>31+30+31+31+30+31</f>
        <v>184</v>
      </c>
    </row>
    <row r="41" spans="1:19" x14ac:dyDescent="0.25">
      <c r="A41" s="674" t="s">
        <v>175</v>
      </c>
      <c r="B41" s="1228"/>
      <c r="C41" s="673" t="s">
        <v>208</v>
      </c>
      <c r="D41" s="671"/>
      <c r="E41" s="671"/>
      <c r="F41" s="671"/>
      <c r="G41" s="672"/>
      <c r="H41" s="671"/>
      <c r="I41" s="673"/>
      <c r="J41" s="671"/>
      <c r="K41" s="1247">
        <f>'Hoja Llave'!O4</f>
        <v>1.2307692307692308</v>
      </c>
      <c r="L41" s="671"/>
      <c r="M41" s="678"/>
      <c r="N41" s="421"/>
      <c r="O41" s="671"/>
      <c r="Q41" s="686" t="s">
        <v>469</v>
      </c>
    </row>
    <row r="42" spans="1:19" x14ac:dyDescent="0.25">
      <c r="A42" s="674"/>
      <c r="B42" s="1228"/>
      <c r="C42" s="671"/>
      <c r="D42" s="671"/>
      <c r="E42" s="671"/>
      <c r="F42" s="671"/>
      <c r="G42" s="672"/>
      <c r="H42" s="671"/>
      <c r="I42" s="673"/>
      <c r="J42" s="671"/>
      <c r="K42" s="430"/>
      <c r="L42" s="671"/>
      <c r="M42" s="675"/>
      <c r="N42" s="430"/>
      <c r="O42" s="671"/>
      <c r="Q42" s="433" t="e">
        <f>+#REF!/#REF!*Q40</f>
        <v>#REF!</v>
      </c>
    </row>
    <row r="43" spans="1:19" x14ac:dyDescent="0.25">
      <c r="A43" s="674" t="s">
        <v>205</v>
      </c>
      <c r="B43" s="1228"/>
      <c r="C43" s="673" t="s">
        <v>198</v>
      </c>
      <c r="D43" s="671"/>
      <c r="E43" s="671"/>
      <c r="F43" s="671"/>
      <c r="G43" s="672"/>
      <c r="H43" s="671"/>
      <c r="I43" s="673"/>
      <c r="J43" s="671"/>
      <c r="K43" s="1247">
        <f>'Hoja Llave'!O45</f>
        <v>1.1429</v>
      </c>
      <c r="L43" s="671"/>
      <c r="M43" s="675"/>
      <c r="N43" s="430"/>
      <c r="O43" s="671"/>
      <c r="Q43" s="433" t="e">
        <f>+#REF!/#REF!*Q40</f>
        <v>#REF!</v>
      </c>
    </row>
    <row r="44" spans="1:19" x14ac:dyDescent="0.25">
      <c r="A44" s="674"/>
      <c r="B44" s="1228"/>
      <c r="C44" s="671"/>
      <c r="D44" s="671"/>
      <c r="E44" s="671"/>
      <c r="F44" s="671"/>
      <c r="G44" s="672"/>
      <c r="H44" s="671"/>
      <c r="I44" s="673"/>
      <c r="J44" s="671"/>
      <c r="K44" s="430"/>
      <c r="L44" s="671"/>
      <c r="M44" s="675"/>
      <c r="N44" s="430"/>
      <c r="O44" s="671"/>
      <c r="Q44" s="688">
        <v>7</v>
      </c>
    </row>
    <row r="45" spans="1:19" x14ac:dyDescent="0.25">
      <c r="A45" s="674" t="s">
        <v>218</v>
      </c>
      <c r="B45" s="1228"/>
      <c r="C45" s="673" t="s">
        <v>209</v>
      </c>
      <c r="D45" s="671"/>
      <c r="E45" s="671"/>
      <c r="F45" s="671"/>
      <c r="G45" s="672"/>
      <c r="H45" s="671"/>
      <c r="I45" s="673"/>
      <c r="J45" s="671"/>
      <c r="K45" s="679">
        <f>'Hoja Llave'!O46</f>
        <v>7860.2591405513604</v>
      </c>
      <c r="L45" s="690"/>
      <c r="M45" s="691"/>
      <c r="N45" s="692"/>
      <c r="O45" s="671"/>
      <c r="Q45" s="694" t="e">
        <f>SUM(Q42:Q44)</f>
        <v>#REF!</v>
      </c>
      <c r="R45" s="689" t="s">
        <v>710</v>
      </c>
    </row>
    <row r="46" spans="1:19" x14ac:dyDescent="0.25">
      <c r="A46" s="674"/>
      <c r="B46" s="1228"/>
      <c r="C46" s="671"/>
      <c r="D46" s="671"/>
      <c r="E46" s="671"/>
      <c r="F46" s="671"/>
      <c r="G46" s="672"/>
      <c r="H46" s="671"/>
      <c r="I46" s="673"/>
      <c r="J46" s="671"/>
      <c r="K46" s="430"/>
      <c r="L46" s="671"/>
      <c r="M46" s="675"/>
      <c r="N46" s="430"/>
      <c r="O46" s="671"/>
    </row>
    <row r="47" spans="1:19" x14ac:dyDescent="0.25">
      <c r="A47" s="674" t="s">
        <v>210</v>
      </c>
      <c r="B47" s="1228"/>
      <c r="C47" s="673" t="s">
        <v>211</v>
      </c>
      <c r="D47" s="671"/>
      <c r="E47" s="671"/>
      <c r="F47" s="671"/>
      <c r="G47" s="672"/>
      <c r="H47" s="671"/>
      <c r="I47" s="673"/>
      <c r="J47" s="671"/>
      <c r="K47" s="1247">
        <v>3</v>
      </c>
      <c r="L47" s="671"/>
      <c r="M47" s="675">
        <f>+K47-'[1]Calculo FETAP ASETAC'!J43</f>
        <v>0</v>
      </c>
      <c r="N47" s="430"/>
      <c r="O47" s="671"/>
    </row>
    <row r="48" spans="1:19" x14ac:dyDescent="0.25">
      <c r="A48" s="674"/>
      <c r="B48" s="1228"/>
      <c r="C48" s="673"/>
      <c r="D48" s="671"/>
      <c r="E48" s="671"/>
      <c r="F48" s="671"/>
      <c r="G48" s="672"/>
      <c r="H48" s="671"/>
      <c r="I48" s="673"/>
      <c r="J48" s="671"/>
      <c r="K48" s="430"/>
      <c r="L48" s="671"/>
      <c r="M48" s="671"/>
      <c r="N48" s="430"/>
      <c r="O48" s="671"/>
      <c r="Q48" s="695">
        <v>5</v>
      </c>
      <c r="S48" s="314" t="e">
        <f>+Q48*R49/R50</f>
        <v>#REF!</v>
      </c>
    </row>
    <row r="49" spans="1:18" s="665" customFormat="1" ht="10.5" customHeight="1" x14ac:dyDescent="0.25">
      <c r="A49" s="674" t="s">
        <v>212</v>
      </c>
      <c r="B49" s="1228"/>
      <c r="C49" s="1456" t="s">
        <v>222</v>
      </c>
      <c r="D49" s="1456"/>
      <c r="E49" s="1456"/>
      <c r="F49" s="670" t="s">
        <v>4</v>
      </c>
      <c r="G49" s="1456" t="str">
        <f>+ROUND(K5,4)&amp;" + "&amp;ROUND(K30,4)</f>
        <v>205,1517 + 317,4695</v>
      </c>
      <c r="H49" s="1456"/>
      <c r="I49" s="670"/>
      <c r="J49" s="670" t="s">
        <v>4</v>
      </c>
      <c r="K49" s="431"/>
      <c r="L49" s="670"/>
      <c r="M49" s="670"/>
      <c r="N49" s="431">
        <f>+K5+K30</f>
        <v>522.62122835350795</v>
      </c>
      <c r="O49" s="670"/>
      <c r="R49" s="697" t="e">
        <f>+Q45</f>
        <v>#REF!</v>
      </c>
    </row>
    <row r="50" spans="1:18" s="665" customFormat="1" x14ac:dyDescent="0.25">
      <c r="A50" s="674"/>
      <c r="B50" s="1228"/>
      <c r="C50" s="674"/>
      <c r="D50" s="674"/>
      <c r="E50" s="674"/>
      <c r="F50" s="670"/>
      <c r="G50" s="674"/>
      <c r="H50" s="674"/>
      <c r="I50" s="670"/>
      <c r="J50" s="670"/>
      <c r="K50" s="431"/>
      <c r="L50" s="670"/>
      <c r="M50" s="670"/>
      <c r="N50" s="431"/>
      <c r="O50" s="670"/>
      <c r="R50" s="698">
        <v>4</v>
      </c>
    </row>
    <row r="51" spans="1:18" s="665" customFormat="1" x14ac:dyDescent="0.25">
      <c r="A51" s="699" t="s">
        <v>392</v>
      </c>
      <c r="B51" s="1263"/>
      <c r="C51" s="700"/>
      <c r="D51" s="700"/>
      <c r="E51" s="700"/>
      <c r="F51" s="701"/>
      <c r="G51" s="700"/>
      <c r="H51" s="700"/>
      <c r="I51" s="701"/>
      <c r="J51" s="701"/>
      <c r="K51" s="702"/>
      <c r="L51" s="701"/>
      <c r="M51" s="701"/>
      <c r="N51" s="702"/>
      <c r="O51" s="1474" t="s">
        <v>461</v>
      </c>
    </row>
    <row r="52" spans="1:18" s="665" customFormat="1" ht="13.8" thickBot="1" x14ac:dyDescent="0.3">
      <c r="A52" s="703"/>
      <c r="B52" s="1230"/>
      <c r="C52" s="680"/>
      <c r="D52" s="680"/>
      <c r="E52" s="680"/>
      <c r="F52" s="682"/>
      <c r="G52" s="680"/>
      <c r="H52" s="680"/>
      <c r="I52" s="1232"/>
      <c r="J52" s="682"/>
      <c r="K52" s="434"/>
      <c r="L52" s="682"/>
      <c r="M52" s="682"/>
      <c r="N52" s="434"/>
      <c r="O52" s="1475"/>
    </row>
    <row r="53" spans="1:18" ht="16.2" thickBot="1" x14ac:dyDescent="0.3">
      <c r="A53" s="703" t="s">
        <v>387</v>
      </c>
      <c r="B53" s="1230"/>
      <c r="C53" s="1464" t="s">
        <v>388</v>
      </c>
      <c r="D53" s="1464"/>
      <c r="E53" s="1464"/>
      <c r="F53" s="704"/>
      <c r="G53" s="705"/>
      <c r="H53" s="704"/>
      <c r="I53" s="731"/>
      <c r="J53" s="704"/>
      <c r="K53" s="1275">
        <f>+(K10*'Sueldo y patentes'!X3*K27)/K25</f>
        <v>52.561265183115474</v>
      </c>
      <c r="L53" s="704"/>
      <c r="M53" s="704"/>
      <c r="N53" s="706"/>
      <c r="O53" s="1475"/>
      <c r="Q53" s="707">
        <v>192</v>
      </c>
      <c r="R53" s="665"/>
    </row>
    <row r="54" spans="1:18" ht="16.2" thickBot="1" x14ac:dyDescent="0.3">
      <c r="A54" s="703"/>
      <c r="B54" s="1230"/>
      <c r="C54" s="1477" t="s">
        <v>329</v>
      </c>
      <c r="D54" s="1477"/>
      <c r="E54" s="1477"/>
      <c r="F54" s="704"/>
      <c r="G54" s="705"/>
      <c r="H54" s="704"/>
      <c r="I54" s="731"/>
      <c r="J54" s="704"/>
      <c r="K54" s="1276"/>
      <c r="L54" s="704"/>
      <c r="M54" s="704"/>
      <c r="N54" s="706"/>
      <c r="O54" s="1475"/>
      <c r="Q54" s="709" t="e">
        <f>(Q53-S48)</f>
        <v>#REF!</v>
      </c>
      <c r="R54" s="708" t="e">
        <f>+Q53/Q54</f>
        <v>#REF!</v>
      </c>
    </row>
    <row r="55" spans="1:18" x14ac:dyDescent="0.25">
      <c r="A55" s="703"/>
      <c r="B55" s="1230"/>
      <c r="C55" s="704"/>
      <c r="D55" s="704"/>
      <c r="E55" s="704"/>
      <c r="F55" s="704"/>
      <c r="G55" s="705"/>
      <c r="H55" s="704"/>
      <c r="I55" s="731"/>
      <c r="J55" s="704"/>
      <c r="K55" s="1276"/>
      <c r="L55" s="704"/>
      <c r="M55" s="704"/>
      <c r="N55" s="706"/>
      <c r="O55" s="1475"/>
    </row>
    <row r="56" spans="1:18" x14ac:dyDescent="0.25">
      <c r="A56" s="703" t="s">
        <v>389</v>
      </c>
      <c r="B56" s="1230"/>
      <c r="C56" s="1464" t="s">
        <v>390</v>
      </c>
      <c r="D56" s="1464"/>
      <c r="E56" s="1464"/>
      <c r="F56" s="704"/>
      <c r="G56" s="705"/>
      <c r="H56" s="704"/>
      <c r="I56" s="731"/>
      <c r="J56" s="704"/>
      <c r="K56" s="1275">
        <f>+(K35*'Sueldo y patentes'!X3*K47)/K45</f>
        <v>75.914833306391927</v>
      </c>
      <c r="L56" s="704"/>
      <c r="M56" s="704"/>
      <c r="N56" s="706"/>
      <c r="O56" s="1475"/>
    </row>
    <row r="57" spans="1:18" x14ac:dyDescent="0.25">
      <c r="A57" s="703"/>
      <c r="B57" s="1230"/>
      <c r="C57" s="1477" t="s">
        <v>391</v>
      </c>
      <c r="D57" s="1477"/>
      <c r="E57" s="1477"/>
      <c r="F57" s="704"/>
      <c r="G57" s="705"/>
      <c r="H57" s="704"/>
      <c r="I57" s="731"/>
      <c r="J57" s="704"/>
      <c r="K57" s="706"/>
      <c r="L57" s="704"/>
      <c r="M57" s="704"/>
      <c r="N57" s="706"/>
      <c r="O57" s="1475"/>
    </row>
    <row r="58" spans="1:18" x14ac:dyDescent="0.25">
      <c r="A58" s="703"/>
      <c r="B58" s="1230"/>
      <c r="C58" s="680"/>
      <c r="D58" s="680"/>
      <c r="E58" s="680"/>
      <c r="F58" s="704"/>
      <c r="G58" s="705"/>
      <c r="H58" s="704"/>
      <c r="I58" s="731"/>
      <c r="J58" s="704"/>
      <c r="K58" s="706"/>
      <c r="L58" s="704"/>
      <c r="M58" s="704"/>
      <c r="N58" s="706"/>
      <c r="O58" s="1475"/>
    </row>
    <row r="59" spans="1:18" x14ac:dyDescent="0.25">
      <c r="A59" s="710" t="s">
        <v>386</v>
      </c>
      <c r="B59" s="1229"/>
      <c r="C59" s="711"/>
      <c r="D59" s="711"/>
      <c r="E59" s="711"/>
      <c r="F59" s="677"/>
      <c r="G59" s="712"/>
      <c r="H59" s="677"/>
      <c r="I59" s="676"/>
      <c r="J59" s="677"/>
      <c r="K59" s="713"/>
      <c r="L59" s="677"/>
      <c r="M59" s="677"/>
      <c r="N59" s="714">
        <f>+K56+K53</f>
        <v>128.47609848950739</v>
      </c>
      <c r="O59" s="1476"/>
    </row>
    <row r="60" spans="1:18" x14ac:dyDescent="0.25">
      <c r="A60" s="693"/>
      <c r="B60" s="1233"/>
      <c r="C60" s="693"/>
      <c r="D60" s="693"/>
      <c r="E60" s="693"/>
    </row>
    <row r="61" spans="1:18" x14ac:dyDescent="0.25">
      <c r="A61" s="693"/>
      <c r="B61" s="1233"/>
    </row>
    <row r="62" spans="1:18" s="665" customFormat="1" ht="17.399999999999999" x14ac:dyDescent="0.25">
      <c r="A62" s="666" t="s">
        <v>8</v>
      </c>
      <c r="B62" s="667"/>
      <c r="C62" s="667" t="s">
        <v>9</v>
      </c>
      <c r="D62" s="667"/>
      <c r="E62" s="667"/>
      <c r="F62" s="667"/>
      <c r="G62" s="668" t="s">
        <v>23</v>
      </c>
      <c r="H62" s="667"/>
      <c r="I62" s="667"/>
      <c r="J62" s="667"/>
      <c r="K62" s="428"/>
      <c r="L62" s="667"/>
      <c r="M62" s="667"/>
      <c r="N62" s="435">
        <f>+N97</f>
        <v>17.747240326970953</v>
      </c>
      <c r="O62" s="669"/>
      <c r="R62" s="314"/>
    </row>
    <row r="63" spans="1:18" x14ac:dyDescent="0.25">
      <c r="R63" s="665"/>
    </row>
    <row r="64" spans="1:18" s="665" customFormat="1" x14ac:dyDescent="0.25">
      <c r="A64" s="1456" t="s">
        <v>769</v>
      </c>
      <c r="B64" s="1228"/>
      <c r="C64" s="1464" t="s">
        <v>213</v>
      </c>
      <c r="D64" s="1464"/>
      <c r="E64" s="1456" t="s">
        <v>4</v>
      </c>
      <c r="F64" s="1470" t="str">
        <f>ROUND(K70,4)&amp;" . "&amp;K72&amp;" . "&amp;ROUND(K74,4)&amp;" . "&amp;K77</f>
        <v>0,4344 . 10 . 5445,3036 . 1,6</v>
      </c>
      <c r="G64" s="1470"/>
      <c r="H64" s="1470"/>
      <c r="I64" s="1470"/>
      <c r="J64" s="1456" t="s">
        <v>4</v>
      </c>
      <c r="K64" s="431">
        <f>+K72*K74*K77*K70/K79</f>
        <v>5.2087682506224073</v>
      </c>
      <c r="R64" s="314"/>
    </row>
    <row r="65" spans="1:18" s="665" customFormat="1" x14ac:dyDescent="0.25">
      <c r="A65" s="1456"/>
      <c r="B65" s="1228"/>
      <c r="C65" s="1456" t="s">
        <v>329</v>
      </c>
      <c r="D65" s="1456"/>
      <c r="E65" s="1456"/>
      <c r="F65" s="1471">
        <f>ROUND(K79,0)</f>
        <v>7266</v>
      </c>
      <c r="G65" s="1471"/>
      <c r="H65" s="1471"/>
      <c r="I65" s="1471"/>
      <c r="J65" s="1456"/>
      <c r="K65" s="431"/>
      <c r="N65" s="100"/>
    </row>
    <row r="66" spans="1:18" x14ac:dyDescent="0.25">
      <c r="K66" s="430"/>
      <c r="R66" s="665"/>
    </row>
    <row r="67" spans="1:18" x14ac:dyDescent="0.25">
      <c r="K67" s="430"/>
    </row>
    <row r="68" spans="1:18" x14ac:dyDescent="0.25">
      <c r="A68" s="687" t="s">
        <v>5</v>
      </c>
      <c r="B68" s="687"/>
      <c r="K68" s="430"/>
    </row>
    <row r="69" spans="1:18" x14ac:dyDescent="0.25">
      <c r="K69" s="430"/>
    </row>
    <row r="70" spans="1:18" x14ac:dyDescent="0.25">
      <c r="A70" s="693" t="s">
        <v>193</v>
      </c>
      <c r="B70" s="1233"/>
      <c r="C70" s="687" t="s">
        <v>194</v>
      </c>
      <c r="K70" s="460">
        <f>'Hoja Llave'!O41</f>
        <v>0.43440000000000001</v>
      </c>
      <c r="M70" s="675">
        <f>+K70-'[1]Calculo FETAP ASETAC'!J66</f>
        <v>1.3719983407664726E-2</v>
      </c>
    </row>
    <row r="71" spans="1:18" x14ac:dyDescent="0.25">
      <c r="K71" s="430"/>
    </row>
    <row r="72" spans="1:18" x14ac:dyDescent="0.25">
      <c r="A72" s="693" t="s">
        <v>214</v>
      </c>
      <c r="B72" s="1233"/>
      <c r="C72" s="687" t="s">
        <v>332</v>
      </c>
      <c r="K72" s="460">
        <f>+'[1]Hoja Llave'!O37</f>
        <v>10</v>
      </c>
      <c r="M72" s="675">
        <f>+K72-'[1]Calculo FETAP ASETAC'!J68</f>
        <v>0</v>
      </c>
    </row>
    <row r="73" spans="1:18" x14ac:dyDescent="0.25">
      <c r="K73" s="430"/>
    </row>
    <row r="74" spans="1:18" x14ac:dyDescent="0.25">
      <c r="A74" s="1436" t="s">
        <v>195</v>
      </c>
      <c r="B74" s="1233"/>
      <c r="C74" s="715" t="str">
        <f>"sueldo básico de convenio conductor guarda único c/ 10 años de antigüedad ("&amp;'[1]Hoja Llave'!O32&amp;" x 1,1)"</f>
        <v>sueldo básico de convenio conductor guarda único c/ 10 años de antigüedad (45412,3 x 1,1)</v>
      </c>
      <c r="D74" s="716"/>
      <c r="E74" s="716"/>
      <c r="F74" s="716"/>
      <c r="G74" s="716"/>
      <c r="H74" s="715"/>
      <c r="I74" s="715"/>
      <c r="K74" s="1467">
        <f>'Hoja Llave'!O39</f>
        <v>5445.3036458333336</v>
      </c>
    </row>
    <row r="75" spans="1:18" x14ac:dyDescent="0.25">
      <c r="A75" s="1436"/>
      <c r="B75" s="1233"/>
      <c r="C75" s="1468" t="s">
        <v>7</v>
      </c>
      <c r="D75" s="1468"/>
      <c r="E75" s="1468"/>
      <c r="F75" s="1468"/>
      <c r="G75" s="1468"/>
      <c r="H75" s="1468"/>
      <c r="K75" s="1467"/>
    </row>
    <row r="76" spans="1:18" x14ac:dyDescent="0.25">
      <c r="K76" s="430"/>
    </row>
    <row r="77" spans="1:18" x14ac:dyDescent="0.25">
      <c r="A77" s="693" t="s">
        <v>215</v>
      </c>
      <c r="B77" s="1233"/>
      <c r="C77" s="314" t="s">
        <v>13</v>
      </c>
      <c r="K77" s="460">
        <f>'Hoja Llave'!O38</f>
        <v>1.6</v>
      </c>
      <c r="M77" s="675">
        <f>+K77-'[1]Calculo FETAP ASETAC'!J73</f>
        <v>0</v>
      </c>
    </row>
    <row r="78" spans="1:18" x14ac:dyDescent="0.25">
      <c r="A78" s="693"/>
      <c r="B78" s="1233"/>
      <c r="K78" s="430"/>
    </row>
    <row r="79" spans="1:18" x14ac:dyDescent="0.25">
      <c r="A79" s="693" t="s">
        <v>329</v>
      </c>
      <c r="B79" s="1233"/>
      <c r="C79" s="687" t="s">
        <v>216</v>
      </c>
      <c r="K79" s="717">
        <f>'Hoja Llave'!O30</f>
        <v>7266.0246413300456</v>
      </c>
      <c r="M79" s="678"/>
    </row>
    <row r="80" spans="1:18" x14ac:dyDescent="0.25">
      <c r="A80" s="693"/>
      <c r="B80" s="1233"/>
      <c r="C80" s="687"/>
      <c r="K80" s="430"/>
    </row>
    <row r="81" spans="1:13" x14ac:dyDescent="0.25">
      <c r="A81" s="693"/>
      <c r="B81" s="1233"/>
      <c r="K81" s="430"/>
    </row>
    <row r="82" spans="1:13" x14ac:dyDescent="0.25">
      <c r="A82" s="674" t="s">
        <v>328</v>
      </c>
      <c r="B82" s="1228"/>
      <c r="C82" s="1464" t="s">
        <v>217</v>
      </c>
      <c r="D82" s="1464"/>
      <c r="E82" s="1464"/>
      <c r="F82" s="682" t="s">
        <v>4</v>
      </c>
      <c r="G82" s="1464" t="str">
        <f>ROUND(K87,4)&amp;" . "&amp;K89&amp;" . "&amp;ROUND(K91,4)&amp;" . "&amp;K93</f>
        <v>0,5656 . 20 . 5445,3036 . 1,6</v>
      </c>
      <c r="H82" s="1464"/>
      <c r="I82" s="1464"/>
      <c r="J82" s="682" t="s">
        <v>4</v>
      </c>
      <c r="K82" s="431">
        <f>+(K87*K89*K91*K93)/K95</f>
        <v>12.538472076348548</v>
      </c>
    </row>
    <row r="83" spans="1:13" x14ac:dyDescent="0.25">
      <c r="A83" s="674"/>
      <c r="B83" s="1228"/>
      <c r="C83" s="1462" t="s">
        <v>218</v>
      </c>
      <c r="D83" s="1462"/>
      <c r="E83" s="1462"/>
      <c r="F83" s="682"/>
      <c r="G83" s="1469">
        <f>ROUND(K95,0)</f>
        <v>7860</v>
      </c>
      <c r="H83" s="1469"/>
      <c r="I83" s="1469"/>
      <c r="J83" s="683"/>
      <c r="K83" s="430"/>
    </row>
    <row r="84" spans="1:13" x14ac:dyDescent="0.25">
      <c r="A84" s="693"/>
      <c r="B84" s="1233"/>
      <c r="K84" s="430"/>
    </row>
    <row r="85" spans="1:13" x14ac:dyDescent="0.25">
      <c r="A85" s="693" t="s">
        <v>202</v>
      </c>
      <c r="B85" s="1233"/>
      <c r="K85" s="430"/>
    </row>
    <row r="86" spans="1:13" x14ac:dyDescent="0.25">
      <c r="A86" s="693"/>
      <c r="B86" s="1233"/>
      <c r="K86" s="430"/>
    </row>
    <row r="87" spans="1:13" x14ac:dyDescent="0.25">
      <c r="A87" s="693" t="s">
        <v>203</v>
      </c>
      <c r="B87" s="1233"/>
      <c r="C87" s="687" t="s">
        <v>206</v>
      </c>
      <c r="K87" s="460">
        <f>'Hoja Llave'!O42</f>
        <v>0.56559999999999999</v>
      </c>
      <c r="M87" s="675"/>
    </row>
    <row r="88" spans="1:13" x14ac:dyDescent="0.25">
      <c r="A88" s="693"/>
      <c r="B88" s="1233"/>
      <c r="K88" s="430"/>
    </row>
    <row r="89" spans="1:13" x14ac:dyDescent="0.25">
      <c r="A89" s="693" t="s">
        <v>331</v>
      </c>
      <c r="B89" s="1233"/>
      <c r="C89" s="687" t="s">
        <v>378</v>
      </c>
      <c r="K89" s="460">
        <f>'Hoja Llave'!O47</f>
        <v>20</v>
      </c>
      <c r="M89" s="675"/>
    </row>
    <row r="90" spans="1:13" x14ac:dyDescent="0.25">
      <c r="A90" s="693"/>
      <c r="B90" s="1233"/>
      <c r="K90" s="430"/>
    </row>
    <row r="91" spans="1:13" x14ac:dyDescent="0.25">
      <c r="A91" s="693" t="s">
        <v>204</v>
      </c>
      <c r="B91" s="1233"/>
      <c r="C91" s="715" t="str">
        <f>"sueldo básico de convenio conductor guarda único c/ 10 años de antigüedad ("&amp;'[1]Hoja Llave'!O48&amp;" x 1,1)"</f>
        <v>sueldo básico de convenio conductor guarda único c/ 10 años de antigüedad (37021,32 x 1,1)</v>
      </c>
      <c r="D91" s="715"/>
      <c r="E91" s="715"/>
      <c r="F91" s="716"/>
      <c r="G91" s="715"/>
      <c r="H91" s="716"/>
      <c r="K91" s="460">
        <f>'Hoja Llave'!O40</f>
        <v>5445.3036458333336</v>
      </c>
      <c r="M91" s="675"/>
    </row>
    <row r="92" spans="1:13" x14ac:dyDescent="0.25">
      <c r="A92" s="693"/>
      <c r="B92" s="1233"/>
      <c r="C92" s="1466" t="s">
        <v>207</v>
      </c>
      <c r="D92" s="1466"/>
      <c r="E92" s="1466"/>
      <c r="F92" s="718"/>
      <c r="G92" s="718"/>
      <c r="K92" s="430"/>
    </row>
    <row r="93" spans="1:13" x14ac:dyDescent="0.25">
      <c r="A93" s="693" t="s">
        <v>219</v>
      </c>
      <c r="B93" s="1233"/>
      <c r="C93" s="687" t="s">
        <v>13</v>
      </c>
      <c r="K93" s="460">
        <f>+'[1]Hoja Llave'!O38</f>
        <v>1.6</v>
      </c>
      <c r="M93" s="675"/>
    </row>
    <row r="94" spans="1:13" x14ac:dyDescent="0.25">
      <c r="A94" s="693"/>
      <c r="B94" s="1233"/>
      <c r="K94" s="430"/>
    </row>
    <row r="95" spans="1:13" x14ac:dyDescent="0.25">
      <c r="A95" s="693" t="s">
        <v>218</v>
      </c>
      <c r="B95" s="1233"/>
      <c r="C95" s="687" t="s">
        <v>209</v>
      </c>
      <c r="K95" s="717">
        <f>'Hoja Llave'!O46</f>
        <v>7860.2591405513604</v>
      </c>
      <c r="M95" s="678"/>
    </row>
    <row r="96" spans="1:13" x14ac:dyDescent="0.25">
      <c r="A96" s="693"/>
      <c r="B96" s="1233"/>
      <c r="K96" s="430"/>
    </row>
    <row r="97" spans="1:18" s="665" customFormat="1" x14ac:dyDescent="0.25">
      <c r="A97" s="693" t="s">
        <v>220</v>
      </c>
      <c r="B97" s="1233"/>
      <c r="C97" s="1436" t="s">
        <v>221</v>
      </c>
      <c r="D97" s="1436"/>
      <c r="E97" s="1436"/>
      <c r="F97" s="665" t="s">
        <v>4</v>
      </c>
      <c r="G97" s="1448" t="str">
        <f>+ROUND(K64,4)&amp;" + "&amp;ROUND(K82,4)</f>
        <v>5,2088 + 12,5385</v>
      </c>
      <c r="H97" s="1436"/>
      <c r="I97" s="1436"/>
      <c r="J97" s="665" t="s">
        <v>4</v>
      </c>
      <c r="K97" s="100"/>
      <c r="N97" s="100">
        <f>+K82+K64</f>
        <v>17.747240326970953</v>
      </c>
      <c r="R97" s="314"/>
    </row>
    <row r="98" spans="1:18" x14ac:dyDescent="0.25">
      <c r="A98" s="693"/>
      <c r="B98" s="1233"/>
      <c r="R98" s="665"/>
    </row>
    <row r="100" spans="1:18" s="665" customFormat="1" ht="17.399999999999999" x14ac:dyDescent="0.25">
      <c r="A100" s="666" t="s">
        <v>14</v>
      </c>
      <c r="B100" s="667"/>
      <c r="C100" s="667" t="s">
        <v>15</v>
      </c>
      <c r="D100" s="667"/>
      <c r="E100" s="667"/>
      <c r="F100" s="667"/>
      <c r="G100" s="668" t="s">
        <v>22</v>
      </c>
      <c r="H100" s="667"/>
      <c r="I100" s="667"/>
      <c r="J100" s="667"/>
      <c r="K100" s="428"/>
      <c r="L100" s="667"/>
      <c r="M100" s="667"/>
      <c r="N100" s="435">
        <f>+N102+N104</f>
        <v>232.35844153260595</v>
      </c>
      <c r="O100" s="669"/>
      <c r="R100" s="314"/>
    </row>
    <row r="101" spans="1:18" x14ac:dyDescent="0.25">
      <c r="R101" s="665"/>
    </row>
    <row r="102" spans="1:18" s="665" customFormat="1" x14ac:dyDescent="0.25">
      <c r="A102" s="693" t="s">
        <v>16</v>
      </c>
      <c r="B102" s="1233"/>
      <c r="C102" s="1436" t="s">
        <v>17</v>
      </c>
      <c r="D102" s="1436"/>
      <c r="E102" s="693" t="s">
        <v>4</v>
      </c>
      <c r="F102" s="1436" t="str">
        <f>+ROUND(A109,4)&amp;" . "&amp;"("&amp;ROUND(N49,4)&amp;" + "&amp;ROUND(N97,4)&amp;")"</f>
        <v>0,43 . (522,6212 + 17,7472)</v>
      </c>
      <c r="G102" s="1436"/>
      <c r="H102" s="1436"/>
      <c r="I102" s="1436"/>
      <c r="J102" s="719" t="s">
        <v>4</v>
      </c>
      <c r="K102" s="100"/>
      <c r="N102" s="100">
        <f>+A109*(N97+N49)</f>
        <v>232.35844153260595</v>
      </c>
      <c r="R102" s="314"/>
    </row>
    <row r="103" spans="1:18" s="665" customFormat="1" x14ac:dyDescent="0.25">
      <c r="A103" s="693"/>
      <c r="B103" s="1233"/>
      <c r="C103" s="693"/>
      <c r="D103" s="693"/>
      <c r="E103" s="693"/>
      <c r="F103" s="693"/>
      <c r="G103" s="693"/>
      <c r="H103" s="693"/>
      <c r="I103" s="1233"/>
      <c r="J103" s="719"/>
      <c r="K103" s="100"/>
      <c r="N103" s="100"/>
    </row>
    <row r="104" spans="1:18" s="665" customFormat="1" x14ac:dyDescent="0.25">
      <c r="A104" s="693" t="s">
        <v>393</v>
      </c>
      <c r="B104" s="1233"/>
      <c r="C104" s="1436" t="s">
        <v>394</v>
      </c>
      <c r="D104" s="1436"/>
      <c r="E104" s="693" t="s">
        <v>4</v>
      </c>
      <c r="F104" s="693"/>
      <c r="G104" s="693"/>
      <c r="H104" s="693"/>
      <c r="I104" s="1233"/>
      <c r="J104" s="719"/>
      <c r="K104" s="100"/>
      <c r="N104" s="100">
        <f>0.43*(K53+K56)-0.43*(K53+K56)</f>
        <v>0</v>
      </c>
    </row>
    <row r="105" spans="1:18" x14ac:dyDescent="0.25">
      <c r="R105" s="665"/>
    </row>
    <row r="107" spans="1:18" x14ac:dyDescent="0.25">
      <c r="A107" s="687" t="s">
        <v>5</v>
      </c>
      <c r="B107" s="687"/>
    </row>
    <row r="109" spans="1:18" ht="12.75" customHeight="1" x14ac:dyDescent="0.25">
      <c r="A109" s="1463">
        <v>0.43</v>
      </c>
      <c r="B109" s="1235"/>
      <c r="C109" s="1453" t="s">
        <v>18</v>
      </c>
      <c r="D109" s="1453"/>
      <c r="E109" s="1453"/>
      <c r="F109" s="1453"/>
      <c r="G109" s="1453"/>
      <c r="H109" s="1453"/>
      <c r="I109" s="1453"/>
      <c r="J109" s="1453"/>
      <c r="K109" s="1453"/>
      <c r="L109" s="1453"/>
      <c r="M109" s="1453"/>
      <c r="N109" s="1453"/>
    </row>
    <row r="110" spans="1:18" x14ac:dyDescent="0.25">
      <c r="A110" s="1463"/>
      <c r="B110" s="1235"/>
      <c r="C110" s="1453"/>
      <c r="D110" s="1453"/>
      <c r="E110" s="1453"/>
      <c r="F110" s="1453"/>
      <c r="G110" s="1453"/>
      <c r="H110" s="1453"/>
      <c r="I110" s="1453"/>
      <c r="J110" s="1453"/>
      <c r="K110" s="1453"/>
      <c r="L110" s="1453"/>
      <c r="M110" s="1453"/>
      <c r="N110" s="1453"/>
    </row>
    <row r="113" spans="1:18" s="665" customFormat="1" ht="17.399999999999999" x14ac:dyDescent="0.25">
      <c r="A113" s="666" t="s">
        <v>19</v>
      </c>
      <c r="B113" s="667"/>
      <c r="C113" s="667" t="s">
        <v>20</v>
      </c>
      <c r="D113" s="667"/>
      <c r="E113" s="667"/>
      <c r="F113" s="667"/>
      <c r="G113" s="668" t="s">
        <v>21</v>
      </c>
      <c r="H113" s="667"/>
      <c r="I113" s="667"/>
      <c r="J113" s="667"/>
      <c r="K113" s="428"/>
      <c r="L113" s="667"/>
      <c r="M113" s="667"/>
      <c r="N113" s="435">
        <f>+N116</f>
        <v>273.25555362410211</v>
      </c>
      <c r="O113" s="669"/>
      <c r="R113" s="314"/>
    </row>
    <row r="114" spans="1:18" x14ac:dyDescent="0.25">
      <c r="R114" s="665"/>
    </row>
    <row r="116" spans="1:18" s="665" customFormat="1" x14ac:dyDescent="0.25">
      <c r="A116" s="665" t="s">
        <v>25</v>
      </c>
      <c r="C116" s="665" t="s">
        <v>26</v>
      </c>
      <c r="E116" s="665" t="s">
        <v>4</v>
      </c>
      <c r="F116" s="1436" t="str">
        <f>+ROUND(K122+J127+K127,4)&amp;" . "&amp;"("&amp;ROUND(N49,4)&amp;" + "&amp;ROUND(N97,4)&amp;"  + "&amp;ROUND(N102,4)&amp;")"</f>
        <v>0,3536 . (522,6212 + 17,7472  + 232,3584)</v>
      </c>
      <c r="G116" s="1436"/>
      <c r="H116" s="1436"/>
      <c r="I116" s="1436"/>
      <c r="J116" s="674" t="s">
        <v>4</v>
      </c>
      <c r="K116" s="431"/>
      <c r="L116" s="670"/>
      <c r="M116" s="670"/>
      <c r="N116" s="431">
        <f>+(K127+J127+K122)*(N49+N62+N100)</f>
        <v>273.25555362410211</v>
      </c>
      <c r="R116" s="314"/>
    </row>
    <row r="117" spans="1:18" x14ac:dyDescent="0.25">
      <c r="J117" s="671"/>
      <c r="K117" s="430"/>
      <c r="L117" s="671"/>
      <c r="M117" s="671"/>
      <c r="N117" s="430"/>
      <c r="R117" s="665">
        <v>0.02</v>
      </c>
    </row>
    <row r="118" spans="1:18" x14ac:dyDescent="0.25">
      <c r="J118" s="671"/>
      <c r="K118" s="430"/>
      <c r="L118" s="671"/>
      <c r="M118" s="671"/>
      <c r="N118" s="430"/>
    </row>
    <row r="119" spans="1:18" x14ac:dyDescent="0.25">
      <c r="A119" s="687" t="s">
        <v>5</v>
      </c>
      <c r="B119" s="687"/>
      <c r="J119" s="671"/>
      <c r="K119" s="430"/>
      <c r="L119" s="671"/>
      <c r="M119" s="671"/>
      <c r="N119" s="430"/>
    </row>
    <row r="120" spans="1:18" x14ac:dyDescent="0.25">
      <c r="J120" s="720"/>
      <c r="K120" s="430"/>
      <c r="L120" s="671"/>
      <c r="M120" s="671"/>
      <c r="N120" s="430"/>
    </row>
    <row r="121" spans="1:18" x14ac:dyDescent="0.25">
      <c r="A121" s="693" t="s">
        <v>27</v>
      </c>
      <c r="B121" s="1233"/>
      <c r="C121" s="314" t="s">
        <v>28</v>
      </c>
      <c r="H121" s="205">
        <f>SUM(H122:H131)</f>
        <v>0.27029166666666671</v>
      </c>
      <c r="J121" s="721">
        <f>H121+K122</f>
        <v>0.35362500000000002</v>
      </c>
      <c r="K121" s="430"/>
      <c r="L121" s="671"/>
      <c r="M121" s="671"/>
      <c r="N121" s="430"/>
    </row>
    <row r="122" spans="1:18" x14ac:dyDescent="0.25">
      <c r="C122" s="665" t="s">
        <v>29</v>
      </c>
      <c r="I122" s="1248">
        <f>SUM(H123:H126)</f>
        <v>2.0791666666666667E-2</v>
      </c>
      <c r="J122" s="722">
        <f>I122+K122</f>
        <v>0.104125</v>
      </c>
      <c r="K122" s="723">
        <f>1/12</f>
        <v>8.3333333333333329E-2</v>
      </c>
      <c r="L122" s="671"/>
      <c r="M122" s="671"/>
      <c r="N122" s="430"/>
    </row>
    <row r="123" spans="1:18" x14ac:dyDescent="0.25">
      <c r="C123" s="314" t="s">
        <v>30</v>
      </c>
      <c r="F123" s="722">
        <v>0.02</v>
      </c>
      <c r="H123" s="724">
        <f>+$K$122*F123</f>
        <v>1.6666666666666666E-3</v>
      </c>
      <c r="K123" s="430"/>
      <c r="L123" s="671"/>
      <c r="M123" s="671"/>
      <c r="N123" s="430"/>
    </row>
    <row r="124" spans="1:18" x14ac:dyDescent="0.25">
      <c r="C124" s="687" t="s">
        <v>377</v>
      </c>
      <c r="F124" s="722">
        <v>5.33E-2</v>
      </c>
      <c r="H124" s="724">
        <f>+$K$122*F124</f>
        <v>4.4416666666666667E-3</v>
      </c>
      <c r="J124" s="671"/>
      <c r="K124" s="430"/>
      <c r="L124" s="671"/>
      <c r="M124" s="671"/>
      <c r="N124" s="430"/>
    </row>
    <row r="125" spans="1:18" x14ac:dyDescent="0.25">
      <c r="C125" s="314" t="s">
        <v>32</v>
      </c>
      <c r="F125" s="722">
        <v>0.06</v>
      </c>
      <c r="H125" s="724">
        <f>+$K$122*F125</f>
        <v>4.9999999999999992E-3</v>
      </c>
      <c r="J125" s="671"/>
      <c r="K125" s="430"/>
      <c r="L125" s="671"/>
      <c r="M125" s="671"/>
      <c r="N125" s="430"/>
    </row>
    <row r="126" spans="1:18" x14ac:dyDescent="0.25">
      <c r="C126" s="314" t="s">
        <v>33</v>
      </c>
      <c r="F126" s="722">
        <v>0.1162</v>
      </c>
      <c r="H126" s="724">
        <f>+$K$122*F126</f>
        <v>9.683333333333332E-3</v>
      </c>
      <c r="J126" s="671"/>
      <c r="K126" s="430"/>
      <c r="L126" s="671"/>
      <c r="M126" s="671"/>
      <c r="N126" s="430"/>
    </row>
    <row r="127" spans="1:18" x14ac:dyDescent="0.25">
      <c r="C127" s="665" t="s">
        <v>34</v>
      </c>
      <c r="I127" s="1248">
        <f>SUM(H128:H131)</f>
        <v>0.2495</v>
      </c>
      <c r="J127" s="725">
        <f>SUM(H128:H131)</f>
        <v>0.2495</v>
      </c>
      <c r="K127" s="723">
        <f>SUM(H123:H126)</f>
        <v>2.0791666666666667E-2</v>
      </c>
      <c r="L127" s="671"/>
      <c r="M127" s="671"/>
      <c r="N127" s="430"/>
    </row>
    <row r="128" spans="1:18" x14ac:dyDescent="0.25">
      <c r="C128" s="314" t="s">
        <v>30</v>
      </c>
      <c r="H128" s="726">
        <v>0.02</v>
      </c>
      <c r="J128" s="671"/>
      <c r="K128" s="430"/>
      <c r="L128" s="671"/>
      <c r="M128" s="671"/>
      <c r="N128" s="430"/>
    </row>
    <row r="129" spans="1:18" x14ac:dyDescent="0.25">
      <c r="C129" s="314" t="s">
        <v>31</v>
      </c>
      <c r="H129" s="726">
        <v>5.33E-2</v>
      </c>
      <c r="J129" s="671"/>
      <c r="K129" s="430"/>
      <c r="L129" s="671"/>
      <c r="M129" s="671"/>
      <c r="N129" s="430"/>
    </row>
    <row r="130" spans="1:18" x14ac:dyDescent="0.25">
      <c r="C130" s="314" t="s">
        <v>32</v>
      </c>
      <c r="H130" s="726">
        <v>0.06</v>
      </c>
      <c r="J130" s="671"/>
      <c r="K130" s="430"/>
      <c r="L130" s="671"/>
      <c r="M130" s="671"/>
      <c r="N130" s="430"/>
    </row>
    <row r="131" spans="1:18" x14ac:dyDescent="0.25">
      <c r="C131" s="314" t="s">
        <v>33</v>
      </c>
      <c r="H131" s="726">
        <v>0.1162</v>
      </c>
      <c r="K131" s="430"/>
      <c r="L131" s="671"/>
      <c r="M131" s="671"/>
      <c r="N131" s="430"/>
    </row>
    <row r="134" spans="1:18" s="665" customFormat="1" ht="17.399999999999999" x14ac:dyDescent="0.25">
      <c r="A134" s="666" t="s">
        <v>35</v>
      </c>
      <c r="B134" s="667"/>
      <c r="C134" s="667" t="s">
        <v>36</v>
      </c>
      <c r="D134" s="667"/>
      <c r="E134" s="667"/>
      <c r="F134" s="667"/>
      <c r="G134" s="668" t="s">
        <v>52</v>
      </c>
      <c r="H134" s="667"/>
      <c r="I134" s="667"/>
      <c r="J134" s="667"/>
      <c r="K134" s="428"/>
      <c r="L134" s="667"/>
      <c r="M134" s="667"/>
      <c r="N134" s="435">
        <f>+N159</f>
        <v>22.430714176262569</v>
      </c>
      <c r="O134" s="669"/>
      <c r="R134" s="314"/>
    </row>
    <row r="135" spans="1:18" x14ac:dyDescent="0.25">
      <c r="R135" s="665"/>
    </row>
    <row r="136" spans="1:18" ht="12.75" customHeight="1" x14ac:dyDescent="0.25">
      <c r="A136" s="1450" t="s">
        <v>37</v>
      </c>
      <c r="B136" s="1450"/>
      <c r="C136" s="1453"/>
      <c r="D136" s="1453"/>
      <c r="E136" s="1453"/>
      <c r="F136" s="1453"/>
      <c r="G136" s="1453"/>
      <c r="H136" s="1453"/>
      <c r="I136" s="1453"/>
      <c r="J136" s="1453"/>
      <c r="K136" s="1453"/>
      <c r="L136" s="1453"/>
      <c r="M136" s="1453"/>
      <c r="N136" s="1453"/>
    </row>
    <row r="137" spans="1:18" x14ac:dyDescent="0.25">
      <c r="A137" s="1453"/>
      <c r="B137" s="1453"/>
      <c r="C137" s="1453"/>
      <c r="D137" s="1453"/>
      <c r="E137" s="1453"/>
      <c r="F137" s="1453"/>
      <c r="G137" s="1453"/>
      <c r="H137" s="1453"/>
      <c r="I137" s="1453"/>
      <c r="J137" s="1453"/>
      <c r="K137" s="1453"/>
      <c r="L137" s="1453"/>
      <c r="M137" s="1453"/>
      <c r="N137" s="1453"/>
    </row>
    <row r="139" spans="1:18" x14ac:dyDescent="0.25">
      <c r="A139" s="665" t="s">
        <v>38</v>
      </c>
    </row>
    <row r="141" spans="1:18" s="665" customFormat="1" x14ac:dyDescent="0.25">
      <c r="A141" s="1456" t="s">
        <v>39</v>
      </c>
      <c r="B141" s="1228"/>
      <c r="C141" s="1464" t="s">
        <v>40</v>
      </c>
      <c r="D141" s="1464"/>
      <c r="E141" s="1456" t="s">
        <v>4</v>
      </c>
      <c r="F141" s="1464" t="str">
        <f>0.75&amp;" . "&amp;ROUND(K147,4)</f>
        <v>0,75 . 451812,74</v>
      </c>
      <c r="G141" s="1464"/>
      <c r="H141" s="1464"/>
      <c r="I141" s="1464"/>
      <c r="J141" s="1456" t="s">
        <v>4</v>
      </c>
      <c r="K141" s="1465">
        <f>(0.75*K147)/(12*(K149*K151+(K153*K155)))</f>
        <v>2.9710355220089787E-2</v>
      </c>
      <c r="R141" s="314"/>
    </row>
    <row r="142" spans="1:18" s="665" customFormat="1" x14ac:dyDescent="0.25">
      <c r="A142" s="1456"/>
      <c r="B142" s="1228"/>
      <c r="C142" s="1456" t="s">
        <v>223</v>
      </c>
      <c r="D142" s="1456"/>
      <c r="E142" s="1456"/>
      <c r="F142" s="1462" t="str">
        <f>12&amp;" . "&amp;"("&amp;ROUND(K149,4)&amp;" . "&amp;ROUND(K151,4)&amp;" + "&amp;ROUND(K153,4)&amp;" . "&amp;ROUND(K155,4)&amp;")"</f>
        <v>12 . (0,4344 . 950453 + 0,5656 . 950453)</v>
      </c>
      <c r="G142" s="1462"/>
      <c r="H142" s="1462"/>
      <c r="I142" s="1462"/>
      <c r="J142" s="1456"/>
      <c r="K142" s="1465"/>
      <c r="N142" s="100"/>
    </row>
    <row r="143" spans="1:18" x14ac:dyDescent="0.25">
      <c r="A143" s="670"/>
      <c r="B143" s="670"/>
      <c r="C143" s="671"/>
      <c r="D143" s="671"/>
      <c r="E143" s="671"/>
      <c r="F143" s="671"/>
      <c r="G143" s="672"/>
      <c r="H143" s="671"/>
      <c r="I143" s="673"/>
      <c r="J143" s="671"/>
      <c r="K143" s="430"/>
      <c r="R143" s="665"/>
    </row>
    <row r="144" spans="1:18" x14ac:dyDescent="0.25">
      <c r="A144" s="670"/>
      <c r="B144" s="670"/>
      <c r="C144" s="671"/>
      <c r="D144" s="671"/>
      <c r="E144" s="671"/>
      <c r="F144" s="671"/>
      <c r="G144" s="672"/>
      <c r="H144" s="671"/>
      <c r="I144" s="673"/>
      <c r="J144" s="671"/>
      <c r="K144" s="430"/>
    </row>
    <row r="145" spans="1:18" x14ac:dyDescent="0.25">
      <c r="A145" s="673" t="s">
        <v>5</v>
      </c>
      <c r="B145" s="673"/>
      <c r="C145" s="671"/>
      <c r="D145" s="671"/>
      <c r="E145" s="671"/>
      <c r="F145" s="671"/>
      <c r="G145" s="672"/>
      <c r="H145" s="671"/>
      <c r="I145" s="673"/>
      <c r="J145" s="671"/>
      <c r="K145" s="430"/>
    </row>
    <row r="146" spans="1:18" x14ac:dyDescent="0.25">
      <c r="A146" s="670"/>
      <c r="B146" s="670"/>
      <c r="C146" s="671"/>
      <c r="D146" s="671"/>
      <c r="E146" s="671"/>
      <c r="F146" s="671"/>
      <c r="G146" s="672"/>
      <c r="H146" s="671"/>
      <c r="I146" s="673"/>
      <c r="J146" s="671"/>
      <c r="K146" s="430"/>
    </row>
    <row r="147" spans="1:18" x14ac:dyDescent="0.25">
      <c r="A147" s="674" t="s">
        <v>41</v>
      </c>
      <c r="B147" s="1228"/>
      <c r="C147" s="673" t="s">
        <v>225</v>
      </c>
      <c r="D147" s="671"/>
      <c r="E147" s="671"/>
      <c r="F147" s="671"/>
      <c r="G147" s="672"/>
      <c r="H147" s="671"/>
      <c r="I147" s="673"/>
      <c r="J147" s="671"/>
      <c r="K147" s="460">
        <f>'Hoja Llave'!O5</f>
        <v>451812.74</v>
      </c>
      <c r="M147" s="678"/>
    </row>
    <row r="148" spans="1:18" x14ac:dyDescent="0.25">
      <c r="A148" s="674"/>
      <c r="B148" s="1228"/>
      <c r="C148" s="671"/>
      <c r="D148" s="671"/>
      <c r="E148" s="671"/>
      <c r="F148" s="671"/>
      <c r="G148" s="672"/>
      <c r="H148" s="671"/>
      <c r="I148" s="673"/>
      <c r="J148" s="671"/>
      <c r="K148" s="430"/>
    </row>
    <row r="149" spans="1:18" x14ac:dyDescent="0.25">
      <c r="A149" s="674" t="s">
        <v>193</v>
      </c>
      <c r="B149" s="1228"/>
      <c r="C149" s="673" t="s">
        <v>194</v>
      </c>
      <c r="D149" s="671"/>
      <c r="E149" s="671"/>
      <c r="F149" s="671"/>
      <c r="G149" s="672"/>
      <c r="H149" s="671"/>
      <c r="I149" s="673"/>
      <c r="J149" s="671"/>
      <c r="K149" s="460">
        <f>'Hoja Llave'!O41</f>
        <v>0.43440000000000001</v>
      </c>
      <c r="M149" s="675"/>
    </row>
    <row r="150" spans="1:18" x14ac:dyDescent="0.25">
      <c r="A150" s="674"/>
      <c r="B150" s="1228"/>
      <c r="C150" s="671"/>
      <c r="D150" s="671"/>
      <c r="E150" s="671"/>
      <c r="F150" s="671"/>
      <c r="G150" s="672"/>
      <c r="H150" s="671"/>
      <c r="I150" s="673"/>
      <c r="J150" s="671"/>
      <c r="K150" s="430"/>
    </row>
    <row r="151" spans="1:18" x14ac:dyDescent="0.25">
      <c r="A151" s="674" t="s">
        <v>42</v>
      </c>
      <c r="B151" s="1228"/>
      <c r="C151" s="673" t="s">
        <v>226</v>
      </c>
      <c r="D151" s="671"/>
      <c r="E151" s="671"/>
      <c r="F151" s="671"/>
      <c r="G151" s="672"/>
      <c r="H151" s="671"/>
      <c r="I151" s="673"/>
      <c r="J151" s="671"/>
      <c r="K151" s="460">
        <f>'Hoja Llave'!O32</f>
        <v>950453</v>
      </c>
      <c r="M151" s="675"/>
    </row>
    <row r="152" spans="1:18" x14ac:dyDescent="0.25">
      <c r="A152" s="674"/>
      <c r="B152" s="1228"/>
      <c r="C152" s="671"/>
      <c r="D152" s="671"/>
      <c r="E152" s="671"/>
      <c r="F152" s="671"/>
      <c r="G152" s="672"/>
      <c r="H152" s="671"/>
      <c r="I152" s="673"/>
      <c r="J152" s="671"/>
      <c r="K152" s="430"/>
    </row>
    <row r="153" spans="1:18" x14ac:dyDescent="0.25">
      <c r="A153" s="674" t="s">
        <v>203</v>
      </c>
      <c r="B153" s="1228"/>
      <c r="C153" s="673" t="s">
        <v>206</v>
      </c>
      <c r="D153" s="671"/>
      <c r="E153" s="671"/>
      <c r="F153" s="671"/>
      <c r="G153" s="672"/>
      <c r="H153" s="671"/>
      <c r="I153" s="673"/>
      <c r="J153" s="671"/>
      <c r="K153" s="460">
        <f>'Hoja Llave'!O42</f>
        <v>0.56559999999999999</v>
      </c>
      <c r="M153" s="675"/>
    </row>
    <row r="154" spans="1:18" x14ac:dyDescent="0.25">
      <c r="A154" s="674"/>
      <c r="B154" s="1228"/>
      <c r="C154" s="671"/>
      <c r="D154" s="671"/>
      <c r="E154" s="671"/>
      <c r="F154" s="671"/>
      <c r="G154" s="672"/>
      <c r="H154" s="671"/>
      <c r="I154" s="673"/>
      <c r="J154" s="671"/>
      <c r="K154" s="430"/>
    </row>
    <row r="155" spans="1:18" x14ac:dyDescent="0.25">
      <c r="A155" s="674" t="s">
        <v>224</v>
      </c>
      <c r="B155" s="1228"/>
      <c r="C155" s="673" t="s">
        <v>227</v>
      </c>
      <c r="D155" s="671"/>
      <c r="E155" s="671"/>
      <c r="F155" s="671"/>
      <c r="G155" s="672"/>
      <c r="H155" s="671"/>
      <c r="I155" s="673"/>
      <c r="J155" s="671"/>
      <c r="K155" s="460">
        <f>'Hoja Llave'!O48</f>
        <v>950453</v>
      </c>
      <c r="M155" s="675"/>
    </row>
    <row r="156" spans="1:18" x14ac:dyDescent="0.25">
      <c r="A156" s="693"/>
      <c r="B156" s="1233"/>
    </row>
    <row r="157" spans="1:18" x14ac:dyDescent="0.25">
      <c r="A157" s="665" t="s">
        <v>43</v>
      </c>
    </row>
    <row r="159" spans="1:18" s="665" customFormat="1" x14ac:dyDescent="0.25">
      <c r="A159" s="693" t="s">
        <v>44</v>
      </c>
      <c r="B159" s="1233"/>
      <c r="C159" s="1436" t="s">
        <v>45</v>
      </c>
      <c r="D159" s="1436"/>
      <c r="E159" s="693" t="s">
        <v>4</v>
      </c>
      <c r="F159" s="1436" t="str">
        <f>+ROUND(K141,4)&amp;" . "&amp;"("&amp;ROUND(N49,4)&amp;" + "&amp;ROUND(N102,4)&amp;")"</f>
        <v>0,0297 . (522,6212 + 232,3584)</v>
      </c>
      <c r="G159" s="1436"/>
      <c r="H159" s="1436"/>
      <c r="I159" s="1436"/>
      <c r="J159" s="693" t="s">
        <v>4</v>
      </c>
      <c r="K159" s="100"/>
      <c r="N159" s="431">
        <f>+K141*(N49+N102)</f>
        <v>22.430714176262569</v>
      </c>
      <c r="R159" s="314"/>
    </row>
    <row r="160" spans="1:18" s="665" customFormat="1" x14ac:dyDescent="0.25">
      <c r="A160" s="693"/>
      <c r="B160" s="1233"/>
      <c r="C160" s="693"/>
      <c r="D160" s="693"/>
      <c r="E160" s="693"/>
      <c r="F160" s="693"/>
      <c r="G160" s="693"/>
      <c r="H160" s="693"/>
      <c r="I160" s="1233"/>
      <c r="J160" s="693"/>
      <c r="K160" s="100"/>
      <c r="N160" s="100"/>
    </row>
    <row r="161" spans="1:18" x14ac:dyDescent="0.25">
      <c r="R161" s="665"/>
    </row>
    <row r="162" spans="1:18" ht="17.399999999999999" x14ac:dyDescent="0.25">
      <c r="A162" s="666" t="s">
        <v>46</v>
      </c>
      <c r="B162" s="667"/>
      <c r="C162" s="667" t="s">
        <v>228</v>
      </c>
      <c r="D162" s="667"/>
      <c r="E162" s="667"/>
      <c r="F162" s="667"/>
      <c r="G162" s="668" t="s">
        <v>53</v>
      </c>
      <c r="H162" s="667"/>
      <c r="I162" s="667"/>
      <c r="J162" s="667"/>
      <c r="K162" s="428"/>
      <c r="L162" s="667"/>
      <c r="M162" s="667"/>
      <c r="N162" s="435">
        <f>+N166</f>
        <v>97.266324362486202</v>
      </c>
      <c r="O162" s="669"/>
    </row>
    <row r="164" spans="1:18" x14ac:dyDescent="0.25">
      <c r="C164" s="687" t="s">
        <v>370</v>
      </c>
      <c r="H164" s="437">
        <v>0.18</v>
      </c>
    </row>
    <row r="166" spans="1:18" x14ac:dyDescent="0.25">
      <c r="A166" s="665" t="s">
        <v>229</v>
      </c>
      <c r="C166" s="1436" t="s">
        <v>371</v>
      </c>
      <c r="D166" s="1436"/>
      <c r="E166" s="693" t="s">
        <v>4</v>
      </c>
      <c r="F166" s="1436" t="str">
        <f>+H164&amp;" . "&amp;"("&amp;ROUND(N49,4)&amp;" + "&amp;ROUND(N97,4)&amp;")"</f>
        <v>0,18 . (522,6212 + 17,7472)</v>
      </c>
      <c r="G166" s="1436"/>
      <c r="H166" s="1436"/>
      <c r="I166" s="1436"/>
      <c r="J166" s="693" t="s">
        <v>4</v>
      </c>
      <c r="K166" s="100"/>
      <c r="L166" s="665"/>
      <c r="M166" s="665"/>
      <c r="N166" s="431">
        <f>+H164*(N49+N97)</f>
        <v>97.266324362486202</v>
      </c>
    </row>
    <row r="168" spans="1:18" s="665" customFormat="1" ht="17.399999999999999" x14ac:dyDescent="0.25">
      <c r="A168" s="666" t="s">
        <v>230</v>
      </c>
      <c r="B168" s="667"/>
      <c r="C168" s="667" t="s">
        <v>47</v>
      </c>
      <c r="D168" s="667"/>
      <c r="E168" s="667"/>
      <c r="F168" s="667"/>
      <c r="G168" s="668" t="s">
        <v>231</v>
      </c>
      <c r="H168" s="667"/>
      <c r="I168" s="667"/>
      <c r="J168" s="667"/>
      <c r="K168" s="428"/>
      <c r="L168" s="667"/>
      <c r="M168" s="667"/>
      <c r="N168" s="435">
        <f>+N170</f>
        <v>2.0667996654958705</v>
      </c>
      <c r="O168" s="669"/>
      <c r="R168" s="314"/>
    </row>
    <row r="169" spans="1:18" x14ac:dyDescent="0.25">
      <c r="R169" s="665"/>
    </row>
    <row r="170" spans="1:18" s="665" customFormat="1" x14ac:dyDescent="0.25">
      <c r="A170" s="1436" t="s">
        <v>232</v>
      </c>
      <c r="B170" s="1233"/>
      <c r="C170" s="1433" t="s">
        <v>48</v>
      </c>
      <c r="D170" s="1433"/>
      <c r="E170" s="1436" t="s">
        <v>4</v>
      </c>
      <c r="F170" s="1461">
        <f>ROUND(+K173,4)</f>
        <v>188544.8</v>
      </c>
      <c r="G170" s="1461"/>
      <c r="H170" s="1461"/>
      <c r="I170" s="1461"/>
      <c r="J170" s="1436" t="s">
        <v>4</v>
      </c>
      <c r="K170" s="100"/>
      <c r="N170" s="100">
        <f>+K173/((K175*K179)+(K177*K181))</f>
        <v>2.0667996654958705</v>
      </c>
      <c r="R170" s="314"/>
    </row>
    <row r="171" spans="1:18" s="665" customFormat="1" x14ac:dyDescent="0.25">
      <c r="A171" s="1436"/>
      <c r="B171" s="1233"/>
      <c r="C171" s="1436" t="s">
        <v>233</v>
      </c>
      <c r="D171" s="1436"/>
      <c r="E171" s="1436"/>
      <c r="F171" s="1446" t="str">
        <f>+"("&amp;ROUND(K175,4)&amp;" . "&amp;ROUND(K179,4)&amp;")"&amp;" + "&amp;"("&amp;ROUND(K177,4)&amp;" . "&amp;ROUND(K181,4)&amp;")"</f>
        <v>(0,4344 . 87192,2957) + (0,5656 . 94323,1097)</v>
      </c>
      <c r="G171" s="1446"/>
      <c r="H171" s="1446"/>
      <c r="I171" s="1446"/>
      <c r="J171" s="1436"/>
      <c r="K171" s="100"/>
      <c r="N171" s="100"/>
    </row>
    <row r="172" spans="1:18" x14ac:dyDescent="0.25">
      <c r="R172" s="665"/>
    </row>
    <row r="173" spans="1:18" x14ac:dyDescent="0.25">
      <c r="A173" s="693" t="s">
        <v>48</v>
      </c>
      <c r="B173" s="1233"/>
      <c r="C173" s="314" t="s">
        <v>49</v>
      </c>
      <c r="K173" s="727">
        <f>'Hoja Llave'!O6</f>
        <v>188544.8</v>
      </c>
      <c r="M173" s="678"/>
    </row>
    <row r="174" spans="1:18" x14ac:dyDescent="0.25">
      <c r="A174" s="693"/>
      <c r="B174" s="1233"/>
      <c r="K174" s="430"/>
    </row>
    <row r="175" spans="1:18" x14ac:dyDescent="0.25">
      <c r="A175" s="693" t="s">
        <v>193</v>
      </c>
      <c r="B175" s="1233"/>
      <c r="C175" s="687" t="s">
        <v>194</v>
      </c>
      <c r="K175" s="460">
        <f>'Hoja Llave'!O41</f>
        <v>0.43440000000000001</v>
      </c>
      <c r="M175" s="675"/>
    </row>
    <row r="176" spans="1:18" x14ac:dyDescent="0.25">
      <c r="A176" s="693"/>
      <c r="B176" s="1233"/>
      <c r="K176" s="430"/>
    </row>
    <row r="177" spans="1:18" x14ac:dyDescent="0.25">
      <c r="A177" s="693" t="s">
        <v>203</v>
      </c>
      <c r="B177" s="1233"/>
      <c r="C177" s="687" t="s">
        <v>206</v>
      </c>
      <c r="K177" s="460">
        <f>'Hoja Llave'!O42</f>
        <v>0.56559999999999999</v>
      </c>
      <c r="M177" s="675"/>
    </row>
    <row r="178" spans="1:18" x14ac:dyDescent="0.25">
      <c r="A178" s="693"/>
      <c r="B178" s="1233"/>
      <c r="K178" s="430"/>
    </row>
    <row r="179" spans="1:18" x14ac:dyDescent="0.25">
      <c r="A179" s="693" t="s">
        <v>333</v>
      </c>
      <c r="B179" s="1233"/>
      <c r="C179" s="687" t="s">
        <v>590</v>
      </c>
      <c r="K179" s="679">
        <f>'Hoja Llave'!O33</f>
        <v>87192.295695960551</v>
      </c>
      <c r="M179" s="678"/>
    </row>
    <row r="180" spans="1:18" x14ac:dyDescent="0.25">
      <c r="A180" s="693"/>
      <c r="B180" s="1233"/>
      <c r="K180" s="433"/>
      <c r="M180" s="728"/>
    </row>
    <row r="181" spans="1:18" x14ac:dyDescent="0.25">
      <c r="A181" s="693" t="s">
        <v>234</v>
      </c>
      <c r="B181" s="1233"/>
      <c r="C181" s="687" t="s">
        <v>591</v>
      </c>
      <c r="K181" s="679">
        <f>'Hoja Llave'!O34</f>
        <v>94323.109686616328</v>
      </c>
      <c r="M181" s="678"/>
    </row>
    <row r="182" spans="1:18" x14ac:dyDescent="0.25">
      <c r="A182" s="693"/>
      <c r="B182" s="1233"/>
      <c r="C182" s="687"/>
    </row>
    <row r="183" spans="1:18" x14ac:dyDescent="0.25">
      <c r="A183" s="693"/>
      <c r="B183" s="1233"/>
    </row>
    <row r="184" spans="1:18" s="665" customFormat="1" x14ac:dyDescent="0.25">
      <c r="A184" s="661" t="s">
        <v>51</v>
      </c>
      <c r="B184" s="662"/>
      <c r="C184" s="662"/>
      <c r="D184" s="662"/>
      <c r="E184" s="662"/>
      <c r="F184" s="662"/>
      <c r="G184" s="663"/>
      <c r="H184" s="662"/>
      <c r="I184" s="662"/>
      <c r="J184" s="662"/>
      <c r="K184" s="101"/>
      <c r="L184" s="662"/>
      <c r="M184" s="662"/>
      <c r="N184" s="438"/>
      <c r="R184" s="314"/>
    </row>
    <row r="185" spans="1:18" x14ac:dyDescent="0.25">
      <c r="R185" s="665"/>
    </row>
    <row r="187" spans="1:18" s="665" customFormat="1" x14ac:dyDescent="0.25">
      <c r="A187" s="729" t="s">
        <v>658</v>
      </c>
      <c r="B187" s="729"/>
      <c r="C187" s="729"/>
      <c r="D187" s="729"/>
      <c r="E187" s="729"/>
      <c r="F187" s="1441" t="str">
        <f>+ROUND(N49,4)&amp;" + "&amp;ROUND(N97,4)&amp;" + "&amp;ROUND(N102,4)&amp;" + "&amp;ROUND(N116,4)&amp;" + "&amp;ROUND(N159,4)&amp;" + "&amp;ROUND(N166,4)&amp;" + "&amp;ROUND(N170,4)</f>
        <v>522,6212 + 17,7472 + 232,3584 + 273,2556 + 22,4307 + 97,2663 + 2,0668</v>
      </c>
      <c r="G187" s="1441"/>
      <c r="H187" s="1441"/>
      <c r="I187" s="1441"/>
      <c r="J187" s="1441"/>
      <c r="K187" s="439" t="s">
        <v>4</v>
      </c>
      <c r="L187" s="729"/>
      <c r="M187" s="729"/>
      <c r="N187" s="440">
        <f>+N3+N100+N113+N134+N168+N162+N62</f>
        <v>1296.222400530939</v>
      </c>
      <c r="O187" s="730"/>
      <c r="R187" s="314"/>
    </row>
    <row r="188" spans="1:18" x14ac:dyDescent="0.25">
      <c r="R188" s="665"/>
    </row>
    <row r="190" spans="1:18" s="665" customFormat="1" x14ac:dyDescent="0.25">
      <c r="A190" s="661" t="s">
        <v>54</v>
      </c>
      <c r="B190" s="662"/>
      <c r="C190" s="662" t="s">
        <v>55</v>
      </c>
      <c r="D190" s="662"/>
      <c r="E190" s="662"/>
      <c r="F190" s="662"/>
      <c r="G190" s="663" t="s">
        <v>56</v>
      </c>
      <c r="H190" s="662"/>
      <c r="I190" s="662"/>
      <c r="J190" s="662"/>
      <c r="K190" s="101"/>
      <c r="L190" s="662"/>
      <c r="M190" s="662"/>
      <c r="N190" s="438"/>
      <c r="R190" s="314"/>
    </row>
    <row r="191" spans="1:18" s="670" customFormat="1" x14ac:dyDescent="0.25">
      <c r="A191" s="682"/>
      <c r="B191" s="1232"/>
      <c r="C191" s="682"/>
      <c r="D191" s="682"/>
      <c r="E191" s="682"/>
      <c r="F191" s="682"/>
      <c r="G191" s="680"/>
      <c r="H191" s="682"/>
      <c r="I191" s="1232"/>
      <c r="J191" s="682"/>
      <c r="K191" s="434"/>
      <c r="L191" s="682"/>
      <c r="M191" s="682"/>
      <c r="N191" s="434"/>
      <c r="R191" s="665"/>
    </row>
    <row r="192" spans="1:18" s="670" customFormat="1" x14ac:dyDescent="0.25">
      <c r="A192" s="682"/>
      <c r="B192" s="1232"/>
      <c r="C192" s="731" t="s">
        <v>239</v>
      </c>
      <c r="D192" s="682"/>
      <c r="E192" s="682"/>
      <c r="F192" s="682"/>
      <c r="G192" s="680"/>
      <c r="H192" s="682"/>
      <c r="I192" s="1232"/>
      <c r="J192" s="682"/>
      <c r="K192" s="434"/>
      <c r="L192" s="682"/>
      <c r="M192" s="682"/>
      <c r="N192" s="434"/>
    </row>
    <row r="193" spans="1:14" s="670" customFormat="1" x14ac:dyDescent="0.25">
      <c r="A193" s="682"/>
      <c r="B193" s="1232"/>
      <c r="C193" s="682"/>
      <c r="D193" s="682"/>
      <c r="E193" s="682"/>
      <c r="F193" s="682"/>
      <c r="G193" s="680"/>
      <c r="H193" s="682"/>
      <c r="I193" s="1232"/>
      <c r="J193" s="682"/>
      <c r="K193" s="434"/>
      <c r="L193" s="682"/>
      <c r="M193" s="682"/>
      <c r="N193" s="434"/>
    </row>
    <row r="194" spans="1:14" s="670" customFormat="1" x14ac:dyDescent="0.25">
      <c r="A194" s="680" t="s">
        <v>240</v>
      </c>
      <c r="B194" s="1230"/>
      <c r="C194" s="731" t="s">
        <v>244</v>
      </c>
      <c r="D194" s="682"/>
      <c r="E194" s="682"/>
      <c r="F194" s="682"/>
      <c r="G194" s="680"/>
      <c r="H194" s="682"/>
      <c r="I194" s="1232"/>
      <c r="J194" s="682"/>
      <c r="K194" s="434"/>
      <c r="L194" s="682"/>
      <c r="M194" s="682"/>
      <c r="N194" s="434"/>
    </row>
    <row r="195" spans="1:14" s="670" customFormat="1" x14ac:dyDescent="0.25">
      <c r="A195" s="680"/>
      <c r="B195" s="1230"/>
      <c r="C195" s="731"/>
      <c r="D195" s="682"/>
      <c r="E195" s="682"/>
      <c r="F195" s="682"/>
      <c r="G195" s="680"/>
      <c r="H195" s="682"/>
      <c r="I195" s="1232"/>
      <c r="J195" s="682"/>
      <c r="K195" s="434"/>
      <c r="L195" s="682"/>
      <c r="M195" s="682"/>
      <c r="N195" s="434"/>
    </row>
    <row r="196" spans="1:14" s="670" customFormat="1" x14ac:dyDescent="0.25">
      <c r="A196" s="680" t="s">
        <v>241</v>
      </c>
      <c r="B196" s="1230"/>
      <c r="C196" s="731" t="s">
        <v>243</v>
      </c>
      <c r="D196" s="682"/>
      <c r="E196" s="682"/>
      <c r="F196" s="682"/>
      <c r="G196" s="680"/>
      <c r="H196" s="682"/>
      <c r="I196" s="1232"/>
      <c r="J196" s="682"/>
      <c r="K196" s="434"/>
      <c r="L196" s="682"/>
      <c r="M196" s="682"/>
      <c r="N196" s="434"/>
    </row>
    <row r="197" spans="1:14" s="670" customFormat="1" x14ac:dyDescent="0.25">
      <c r="A197" s="680"/>
      <c r="B197" s="1230"/>
      <c r="C197" s="731"/>
      <c r="D197" s="682"/>
      <c r="E197" s="682"/>
      <c r="F197" s="682"/>
      <c r="G197" s="680"/>
      <c r="H197" s="682"/>
      <c r="I197" s="1232"/>
      <c r="J197" s="682"/>
      <c r="K197" s="434"/>
      <c r="L197" s="682"/>
      <c r="M197" s="682"/>
      <c r="N197" s="434"/>
    </row>
    <row r="198" spans="1:14" s="670" customFormat="1" x14ac:dyDescent="0.25">
      <c r="A198" s="680" t="s">
        <v>242</v>
      </c>
      <c r="B198" s="1230"/>
      <c r="C198" s="731" t="s">
        <v>245</v>
      </c>
      <c r="D198" s="682"/>
      <c r="E198" s="682"/>
      <c r="F198" s="682"/>
      <c r="G198" s="680"/>
      <c r="H198" s="682"/>
      <c r="I198" s="1232"/>
      <c r="J198" s="682"/>
      <c r="K198" s="434"/>
      <c r="L198" s="682"/>
      <c r="M198" s="682"/>
      <c r="N198" s="434"/>
    </row>
    <row r="199" spans="1:14" s="670" customFormat="1" x14ac:dyDescent="0.25">
      <c r="A199" s="682"/>
      <c r="B199" s="1232"/>
      <c r="C199" s="682"/>
      <c r="D199" s="682"/>
      <c r="E199" s="682"/>
      <c r="F199" s="682"/>
      <c r="G199" s="680"/>
      <c r="H199" s="682"/>
      <c r="I199" s="1232"/>
      <c r="J199" s="682"/>
      <c r="K199" s="434"/>
      <c r="L199" s="682"/>
      <c r="M199" s="682"/>
      <c r="N199" s="434"/>
    </row>
    <row r="200" spans="1:14" s="670" customFormat="1" x14ac:dyDescent="0.25">
      <c r="A200" s="682"/>
      <c r="B200" s="1232"/>
      <c r="C200" s="682" t="s">
        <v>246</v>
      </c>
      <c r="D200" s="682"/>
      <c r="E200" s="682"/>
      <c r="F200" s="682"/>
      <c r="G200" s="680"/>
      <c r="H200" s="682"/>
      <c r="I200" s="1232"/>
      <c r="J200" s="682"/>
      <c r="K200" s="434"/>
      <c r="L200" s="682"/>
      <c r="M200" s="682"/>
      <c r="N200" s="434"/>
    </row>
    <row r="201" spans="1:14" s="670" customFormat="1" x14ac:dyDescent="0.25">
      <c r="A201" s="682"/>
      <c r="B201" s="1232"/>
      <c r="C201" s="682"/>
      <c r="D201" s="682"/>
      <c r="E201" s="682"/>
      <c r="F201" s="682"/>
      <c r="G201" s="680"/>
      <c r="H201" s="682"/>
      <c r="I201" s="1232"/>
      <c r="J201" s="682"/>
      <c r="K201" s="434"/>
      <c r="L201" s="682"/>
      <c r="M201" s="682"/>
      <c r="N201" s="434"/>
    </row>
    <row r="202" spans="1:14" s="670" customFormat="1" x14ac:dyDescent="0.25">
      <c r="A202" s="682"/>
      <c r="B202" s="1232"/>
      <c r="C202" s="682" t="s">
        <v>247</v>
      </c>
      <c r="D202" s="682"/>
      <c r="E202" s="682"/>
      <c r="F202" s="682"/>
      <c r="G202" s="680"/>
      <c r="H202" s="682"/>
      <c r="I202" s="1232"/>
      <c r="J202" s="682"/>
      <c r="K202" s="434"/>
      <c r="L202" s="682"/>
      <c r="M202" s="682"/>
      <c r="N202" s="434"/>
    </row>
    <row r="203" spans="1:14" s="670" customFormat="1" x14ac:dyDescent="0.25">
      <c r="A203" s="680"/>
      <c r="B203" s="1230"/>
      <c r="C203" s="731"/>
      <c r="D203" s="682"/>
      <c r="E203" s="682"/>
      <c r="F203" s="682"/>
      <c r="G203" s="680"/>
      <c r="H203" s="682"/>
      <c r="I203" s="1232"/>
      <c r="J203" s="682"/>
      <c r="K203" s="434"/>
      <c r="L203" s="682"/>
      <c r="M203" s="682"/>
      <c r="N203" s="434"/>
    </row>
    <row r="204" spans="1:14" s="670" customFormat="1" x14ac:dyDescent="0.25">
      <c r="A204" s="732">
        <v>0.7</v>
      </c>
      <c r="B204" s="732"/>
      <c r="C204" s="733" t="s">
        <v>248</v>
      </c>
      <c r="D204" s="682"/>
      <c r="E204" s="682"/>
      <c r="F204" s="682"/>
      <c r="G204" s="680"/>
      <c r="H204" s="682"/>
      <c r="I204" s="1232"/>
      <c r="J204" s="682"/>
      <c r="K204" s="434"/>
      <c r="L204" s="682"/>
      <c r="M204" s="682"/>
      <c r="N204" s="434"/>
    </row>
    <row r="205" spans="1:14" s="670" customFormat="1" x14ac:dyDescent="0.25">
      <c r="A205" s="680"/>
      <c r="B205" s="1230"/>
      <c r="C205" s="731"/>
      <c r="D205" s="682"/>
      <c r="E205" s="682"/>
      <c r="F205" s="682"/>
      <c r="G205" s="680"/>
      <c r="H205" s="682"/>
      <c r="I205" s="1232"/>
      <c r="J205" s="682"/>
      <c r="K205" s="434"/>
      <c r="L205" s="682"/>
      <c r="M205" s="682"/>
      <c r="N205" s="434"/>
    </row>
    <row r="206" spans="1:14" s="670" customFormat="1" x14ac:dyDescent="0.25">
      <c r="A206" s="732">
        <v>0.3</v>
      </c>
      <c r="B206" s="732"/>
      <c r="C206" s="733" t="s">
        <v>249</v>
      </c>
      <c r="D206" s="682"/>
      <c r="E206" s="682"/>
      <c r="F206" s="682"/>
      <c r="G206" s="680"/>
      <c r="H206" s="682"/>
      <c r="I206" s="1232"/>
      <c r="J206" s="682"/>
      <c r="K206" s="434"/>
      <c r="L206" s="682"/>
      <c r="M206" s="682"/>
      <c r="N206" s="434"/>
    </row>
    <row r="207" spans="1:14" s="670" customFormat="1" x14ac:dyDescent="0.25">
      <c r="A207" s="680"/>
      <c r="B207" s="1230"/>
      <c r="C207" s="682"/>
      <c r="D207" s="682"/>
      <c r="E207" s="682"/>
      <c r="F207" s="682"/>
      <c r="G207" s="680"/>
      <c r="H207" s="682"/>
      <c r="I207" s="1232"/>
      <c r="J207" s="682"/>
      <c r="K207" s="434"/>
      <c r="L207" s="682"/>
      <c r="M207" s="682"/>
      <c r="N207" s="434"/>
    </row>
    <row r="208" spans="1:14" s="670" customFormat="1" x14ac:dyDescent="0.25">
      <c r="A208" s="680"/>
      <c r="B208" s="1230"/>
      <c r="C208" s="682" t="s">
        <v>250</v>
      </c>
      <c r="D208" s="682"/>
      <c r="E208" s="682"/>
      <c r="F208" s="682"/>
      <c r="G208" s="680"/>
      <c r="H208" s="682"/>
      <c r="I208" s="1232"/>
      <c r="J208" s="682"/>
      <c r="K208" s="434"/>
      <c r="L208" s="682"/>
      <c r="M208" s="682"/>
      <c r="N208" s="434"/>
    </row>
    <row r="209" spans="1:18" s="670" customFormat="1" x14ac:dyDescent="0.25">
      <c r="A209" s="680"/>
      <c r="B209" s="1230"/>
      <c r="C209" s="682"/>
      <c r="D209" s="682"/>
      <c r="E209" s="682"/>
      <c r="F209" s="682"/>
      <c r="G209" s="680"/>
      <c r="H209" s="682"/>
      <c r="I209" s="1232"/>
      <c r="J209" s="682"/>
      <c r="K209" s="434"/>
      <c r="L209" s="682"/>
      <c r="M209" s="682"/>
      <c r="N209" s="434"/>
    </row>
    <row r="210" spans="1:18" s="670" customFormat="1" x14ac:dyDescent="0.25">
      <c r="A210" s="732">
        <v>0.15</v>
      </c>
      <c r="B210" s="732"/>
      <c r="C210" s="733" t="s">
        <v>248</v>
      </c>
      <c r="D210" s="682"/>
      <c r="E210" s="682"/>
      <c r="F210" s="682"/>
      <c r="G210" s="680"/>
      <c r="H210" s="682"/>
      <c r="I210" s="1232"/>
      <c r="J210" s="682"/>
      <c r="K210" s="434"/>
      <c r="L210" s="682"/>
      <c r="M210" s="682"/>
      <c r="N210" s="434"/>
    </row>
    <row r="211" spans="1:18" s="670" customFormat="1" x14ac:dyDescent="0.25">
      <c r="A211" s="680"/>
      <c r="B211" s="1230"/>
      <c r="C211" s="731"/>
      <c r="D211" s="682"/>
      <c r="E211" s="682"/>
      <c r="F211" s="682"/>
      <c r="G211" s="680"/>
      <c r="H211" s="682"/>
      <c r="I211" s="1232"/>
      <c r="J211" s="682"/>
      <c r="K211" s="434"/>
      <c r="L211" s="682"/>
      <c r="M211" s="682"/>
      <c r="N211" s="434"/>
    </row>
    <row r="212" spans="1:18" s="670" customFormat="1" x14ac:dyDescent="0.25">
      <c r="A212" s="732">
        <v>0.45</v>
      </c>
      <c r="B212" s="732"/>
      <c r="C212" s="733" t="s">
        <v>249</v>
      </c>
      <c r="D212" s="682"/>
      <c r="E212" s="682"/>
      <c r="F212" s="682"/>
      <c r="G212" s="680"/>
      <c r="H212" s="682"/>
      <c r="I212" s="1232"/>
      <c r="J212" s="682"/>
      <c r="K212" s="434"/>
      <c r="L212" s="682"/>
      <c r="M212" s="682"/>
      <c r="N212" s="434"/>
    </row>
    <row r="213" spans="1:18" s="670" customFormat="1" x14ac:dyDescent="0.25">
      <c r="A213" s="680"/>
      <c r="B213" s="1230"/>
      <c r="C213" s="731"/>
      <c r="D213" s="682"/>
      <c r="E213" s="682"/>
      <c r="F213" s="682"/>
      <c r="G213" s="680"/>
      <c r="H213" s="682"/>
      <c r="I213" s="1232"/>
      <c r="J213" s="682"/>
      <c r="K213" s="434"/>
      <c r="L213" s="682"/>
      <c r="M213" s="682"/>
      <c r="N213" s="434"/>
    </row>
    <row r="214" spans="1:18" s="670" customFormat="1" x14ac:dyDescent="0.25">
      <c r="A214" s="732">
        <v>0.4</v>
      </c>
      <c r="B214" s="732"/>
      <c r="C214" s="733" t="s">
        <v>251</v>
      </c>
      <c r="D214" s="682"/>
      <c r="E214" s="682"/>
      <c r="F214" s="682"/>
      <c r="G214" s="680"/>
      <c r="H214" s="682"/>
      <c r="I214" s="1232"/>
      <c r="J214" s="682"/>
      <c r="K214" s="434"/>
      <c r="L214" s="682"/>
      <c r="M214" s="682"/>
      <c r="N214" s="434"/>
    </row>
    <row r="215" spans="1:18" s="670" customFormat="1" x14ac:dyDescent="0.25">
      <c r="A215" s="734"/>
      <c r="B215" s="734"/>
      <c r="C215" s="731"/>
      <c r="D215" s="682"/>
      <c r="E215" s="682"/>
      <c r="F215" s="682"/>
      <c r="G215" s="680"/>
      <c r="H215" s="682"/>
      <c r="I215" s="1232"/>
      <c r="J215" s="682"/>
      <c r="K215" s="434"/>
      <c r="L215" s="682"/>
      <c r="M215" s="682"/>
      <c r="N215" s="434"/>
    </row>
    <row r="216" spans="1:18" x14ac:dyDescent="0.25">
      <c r="R216" s="670"/>
    </row>
    <row r="217" spans="1:18" s="665" customFormat="1" ht="17.399999999999999" x14ac:dyDescent="0.25">
      <c r="A217" s="666" t="s">
        <v>57</v>
      </c>
      <c r="B217" s="667"/>
      <c r="C217" s="667" t="s">
        <v>58</v>
      </c>
      <c r="D217" s="667"/>
      <c r="E217" s="667"/>
      <c r="F217" s="667"/>
      <c r="G217" s="668" t="s">
        <v>80</v>
      </c>
      <c r="H217" s="667"/>
      <c r="I217" s="667"/>
      <c r="J217" s="667"/>
      <c r="K217" s="428"/>
      <c r="L217" s="667"/>
      <c r="M217" s="667"/>
      <c r="N217" s="435">
        <f>+N247</f>
        <v>325.74715563672885</v>
      </c>
      <c r="O217" s="669"/>
      <c r="R217" s="314"/>
    </row>
    <row r="218" spans="1:18" x14ac:dyDescent="0.25">
      <c r="R218" s="665"/>
    </row>
    <row r="219" spans="1:18" s="665" customFormat="1" ht="15.75" customHeight="1" x14ac:dyDescent="0.25">
      <c r="A219" s="735" t="s">
        <v>252</v>
      </c>
      <c r="B219" s="735"/>
      <c r="C219" s="1457" t="s">
        <v>577</v>
      </c>
      <c r="D219" s="1457"/>
      <c r="E219" s="693"/>
      <c r="F219" s="1458" t="str">
        <f>ROUND(+K228,4)&amp;" . "&amp;"("&amp;"0,70"&amp;" / "&amp;K226&amp;" + "&amp;"0,30"&amp;" / "&amp;K230&amp;")"&amp;" . "&amp;ROUND(K224,4)</f>
        <v>0,4344 . (0,70 / 3,5 + 0,30 / 3,5) . 1120,6129</v>
      </c>
      <c r="G219" s="1458"/>
      <c r="H219" s="1458"/>
      <c r="I219" s="1458"/>
      <c r="J219" s="693" t="s">
        <v>4</v>
      </c>
      <c r="K219" s="431">
        <f>+K228*((0.7/K226)+(0.3/K230))*K224</f>
        <v>139.08407357735342</v>
      </c>
      <c r="L219" s="670"/>
      <c r="M219" s="670"/>
      <c r="N219" s="670"/>
      <c r="R219" s="314"/>
    </row>
    <row r="220" spans="1:18" s="665" customFormat="1" x14ac:dyDescent="0.25">
      <c r="C220" s="1459"/>
      <c r="D220" s="1459"/>
      <c r="F220" s="1460"/>
      <c r="G220" s="1460"/>
      <c r="H220" s="1460"/>
      <c r="I220" s="1460"/>
      <c r="K220" s="431"/>
      <c r="L220" s="670"/>
      <c r="M220" s="670"/>
      <c r="N220" s="431"/>
    </row>
    <row r="221" spans="1:18" x14ac:dyDescent="0.25">
      <c r="K221" s="430"/>
      <c r="L221" s="671"/>
      <c r="M221" s="671"/>
      <c r="N221" s="430"/>
      <c r="R221" s="665"/>
    </row>
    <row r="222" spans="1:18" x14ac:dyDescent="0.25">
      <c r="A222" s="687" t="s">
        <v>5</v>
      </c>
      <c r="B222" s="687"/>
      <c r="K222" s="430"/>
      <c r="L222" s="671"/>
      <c r="M222" s="671"/>
      <c r="N222" s="430"/>
    </row>
    <row r="223" spans="1:18" x14ac:dyDescent="0.25">
      <c r="K223" s="430"/>
      <c r="L223" s="671"/>
      <c r="M223" s="671"/>
      <c r="N223" s="430"/>
    </row>
    <row r="224" spans="1:18" x14ac:dyDescent="0.25">
      <c r="A224" s="693" t="s">
        <v>254</v>
      </c>
      <c r="B224" s="1233"/>
      <c r="C224" s="673" t="s">
        <v>260</v>
      </c>
      <c r="D224" s="671"/>
      <c r="E224" s="671"/>
      <c r="F224" s="671"/>
      <c r="G224" s="672"/>
      <c r="H224" s="671"/>
      <c r="I224" s="673"/>
      <c r="K224" s="717">
        <f>'Hoja Llave'!O49</f>
        <v>1120.6129316775714</v>
      </c>
      <c r="L224" s="671"/>
      <c r="M224" s="678"/>
      <c r="N224" s="421"/>
    </row>
    <row r="225" spans="1:14" x14ac:dyDescent="0.25">
      <c r="A225" s="693"/>
      <c r="B225" s="1233"/>
      <c r="K225" s="430"/>
      <c r="L225" s="671"/>
      <c r="M225" s="678"/>
      <c r="N225" s="430"/>
    </row>
    <row r="226" spans="1:14" x14ac:dyDescent="0.25">
      <c r="A226" s="693" t="s">
        <v>177</v>
      </c>
      <c r="B226" s="1233"/>
      <c r="C226" s="687" t="s">
        <v>256</v>
      </c>
      <c r="K226" s="460">
        <f>+'[1]Hoja Llave'!O9</f>
        <v>3.5</v>
      </c>
      <c r="L226" s="673"/>
      <c r="M226" s="678"/>
      <c r="N226" s="430"/>
    </row>
    <row r="227" spans="1:14" x14ac:dyDescent="0.25">
      <c r="A227" s="693"/>
      <c r="B227" s="1233"/>
      <c r="K227" s="430"/>
      <c r="L227" s="671"/>
      <c r="M227" s="678"/>
      <c r="N227" s="430"/>
    </row>
    <row r="228" spans="1:14" x14ac:dyDescent="0.25">
      <c r="A228" s="693" t="s">
        <v>193</v>
      </c>
      <c r="B228" s="1233"/>
      <c r="C228" s="687" t="s">
        <v>194</v>
      </c>
      <c r="K228" s="460">
        <f>'Hoja Llave'!O41</f>
        <v>0.43440000000000001</v>
      </c>
      <c r="L228" s="671"/>
      <c r="M228" s="678"/>
      <c r="N228" s="430"/>
    </row>
    <row r="229" spans="1:14" x14ac:dyDescent="0.25">
      <c r="A229" s="693"/>
      <c r="B229" s="1233"/>
      <c r="K229" s="430"/>
      <c r="L229" s="671"/>
      <c r="M229" s="678"/>
      <c r="N229" s="430"/>
    </row>
    <row r="230" spans="1:14" x14ac:dyDescent="0.25">
      <c r="A230" s="693" t="s">
        <v>255</v>
      </c>
      <c r="B230" s="1233"/>
      <c r="C230" s="687" t="s">
        <v>257</v>
      </c>
      <c r="K230" s="460">
        <f>+'[1]Hoja Llave'!O10</f>
        <v>3.5</v>
      </c>
      <c r="L230" s="673"/>
      <c r="M230" s="678"/>
      <c r="N230" s="430"/>
    </row>
    <row r="231" spans="1:14" x14ac:dyDescent="0.25">
      <c r="A231" s="693"/>
      <c r="B231" s="1233"/>
      <c r="K231" s="430"/>
      <c r="L231" s="671"/>
      <c r="M231" s="678"/>
      <c r="N231" s="430"/>
    </row>
    <row r="232" spans="1:14" x14ac:dyDescent="0.25">
      <c r="A232" s="693"/>
      <c r="B232" s="1233"/>
      <c r="K232" s="430"/>
      <c r="L232" s="671"/>
      <c r="M232" s="678"/>
      <c r="N232" s="430"/>
    </row>
    <row r="233" spans="1:14" x14ac:dyDescent="0.25">
      <c r="A233" s="693" t="s">
        <v>258</v>
      </c>
      <c r="B233" s="1233"/>
      <c r="C233" s="665" t="s">
        <v>360</v>
      </c>
      <c r="D233" s="665"/>
      <c r="E233" s="665"/>
      <c r="F233" s="1458" t="str">
        <f>ROUND(+K241,4)&amp;" . "&amp;"("&amp;"0,15"&amp;" / "&amp;K239&amp;" + "&amp;"0,45"&amp;" / "&amp;K243&amp;" + "&amp;"0,4"&amp;" / "&amp;K245&amp;")"&amp;" . "&amp;ROUND(K237,4)</f>
        <v>0,5656 . (0,15 / 3,5 + 0,45 / 3,5 + 0,4 / 3,25) . 1120,6129</v>
      </c>
      <c r="G233" s="1458"/>
      <c r="H233" s="1458"/>
      <c r="I233" s="1458"/>
      <c r="J233" s="736" t="s">
        <v>4</v>
      </c>
      <c r="K233" s="431">
        <f>+K241*((0.15/K239)+(0.45/K243)+(0.4/K245))*K237</f>
        <v>186.6630820593754</v>
      </c>
      <c r="L233" s="671"/>
      <c r="M233" s="678"/>
      <c r="N233" s="430"/>
    </row>
    <row r="234" spans="1:14" x14ac:dyDescent="0.25">
      <c r="A234" s="693"/>
      <c r="B234" s="1233"/>
      <c r="K234" s="430"/>
      <c r="L234" s="671"/>
      <c r="M234" s="678"/>
      <c r="N234" s="482"/>
    </row>
    <row r="235" spans="1:14" x14ac:dyDescent="0.25">
      <c r="A235" s="687" t="s">
        <v>5</v>
      </c>
      <c r="B235" s="687"/>
      <c r="K235" s="430"/>
      <c r="L235" s="671"/>
      <c r="M235" s="678"/>
      <c r="N235" s="430"/>
    </row>
    <row r="236" spans="1:14" x14ac:dyDescent="0.25">
      <c r="K236" s="430"/>
      <c r="L236" s="671"/>
      <c r="M236" s="678"/>
      <c r="N236" s="430"/>
    </row>
    <row r="237" spans="1:14" x14ac:dyDescent="0.25">
      <c r="A237" s="693" t="s">
        <v>259</v>
      </c>
      <c r="B237" s="1233"/>
      <c r="C237" s="673" t="s">
        <v>261</v>
      </c>
      <c r="D237" s="671"/>
      <c r="K237" s="717">
        <f>'Hoja Llave'!O50</f>
        <v>1120.6129316775714</v>
      </c>
      <c r="L237" s="671"/>
      <c r="M237" s="678"/>
      <c r="N237" s="421"/>
    </row>
    <row r="238" spans="1:14" x14ac:dyDescent="0.25">
      <c r="A238" s="693"/>
      <c r="B238" s="1233"/>
      <c r="K238" s="430"/>
      <c r="L238" s="671"/>
      <c r="M238" s="671"/>
      <c r="N238" s="430"/>
    </row>
    <row r="239" spans="1:14" x14ac:dyDescent="0.25">
      <c r="A239" s="693" t="s">
        <v>177</v>
      </c>
      <c r="B239" s="1233"/>
      <c r="C239" s="687" t="s">
        <v>256</v>
      </c>
      <c r="K239" s="460">
        <f>+'[1]Hoja Llave'!O9</f>
        <v>3.5</v>
      </c>
      <c r="L239" s="671"/>
      <c r="M239" s="675"/>
      <c r="N239" s="430"/>
    </row>
    <row r="240" spans="1:14" x14ac:dyDescent="0.25">
      <c r="A240" s="693"/>
      <c r="B240" s="1233"/>
      <c r="K240" s="430"/>
      <c r="L240" s="671"/>
      <c r="M240" s="671"/>
      <c r="N240" s="430"/>
    </row>
    <row r="241" spans="1:18" x14ac:dyDescent="0.25">
      <c r="A241" s="693" t="s">
        <v>203</v>
      </c>
      <c r="B241" s="1233"/>
      <c r="C241" s="687" t="s">
        <v>206</v>
      </c>
      <c r="K241" s="460">
        <f>'Hoja Llave'!O42</f>
        <v>0.56559999999999999</v>
      </c>
      <c r="L241" s="671"/>
      <c r="M241" s="675"/>
      <c r="N241" s="430"/>
    </row>
    <row r="242" spans="1:18" x14ac:dyDescent="0.25">
      <c r="A242" s="693"/>
      <c r="B242" s="1233"/>
      <c r="K242" s="430"/>
      <c r="L242" s="671"/>
      <c r="M242" s="671"/>
      <c r="N242" s="430"/>
    </row>
    <row r="243" spans="1:18" x14ac:dyDescent="0.25">
      <c r="A243" s="693" t="s">
        <v>255</v>
      </c>
      <c r="B243" s="1233"/>
      <c r="C243" s="687" t="s">
        <v>257</v>
      </c>
      <c r="K243" s="460">
        <f>+'[1]Hoja Llave'!O10</f>
        <v>3.5</v>
      </c>
      <c r="L243" s="673"/>
      <c r="M243" s="675"/>
      <c r="N243" s="430"/>
    </row>
    <row r="244" spans="1:18" x14ac:dyDescent="0.25">
      <c r="A244" s="693"/>
      <c r="B244" s="1233"/>
      <c r="K244" s="430"/>
      <c r="L244" s="671"/>
      <c r="M244" s="671"/>
      <c r="N244" s="430"/>
      <c r="O244" s="687"/>
    </row>
    <row r="245" spans="1:18" x14ac:dyDescent="0.25">
      <c r="A245" s="693" t="s">
        <v>262</v>
      </c>
      <c r="B245" s="1233"/>
      <c r="C245" s="687" t="s">
        <v>263</v>
      </c>
      <c r="K245" s="460">
        <f>+'[1]Hoja Llave'!O11</f>
        <v>3.25</v>
      </c>
      <c r="L245" s="673"/>
      <c r="M245" s="675">
        <f>+K245-'[1]Calculo FETAP ASETAC'!J241</f>
        <v>0</v>
      </c>
      <c r="N245" s="430"/>
    </row>
    <row r="246" spans="1:18" x14ac:dyDescent="0.25">
      <c r="A246" s="693"/>
      <c r="B246" s="1233"/>
      <c r="K246" s="430"/>
      <c r="L246" s="671"/>
      <c r="M246" s="671"/>
      <c r="N246" s="430"/>
    </row>
    <row r="247" spans="1:18" x14ac:dyDescent="0.25">
      <c r="A247" s="693" t="s">
        <v>264</v>
      </c>
      <c r="B247" s="1233"/>
      <c r="C247" s="1436" t="s">
        <v>265</v>
      </c>
      <c r="D247" s="1436"/>
      <c r="E247" s="1436"/>
      <c r="F247" s="693" t="s">
        <v>4</v>
      </c>
      <c r="G247" s="1436" t="str">
        <f>+ROUND(K219,4)&amp;" + "&amp;ROUND(K233,4)</f>
        <v>139,0841 + 186,6631</v>
      </c>
      <c r="H247" s="1436"/>
      <c r="I247" s="1436"/>
      <c r="J247" s="1436"/>
      <c r="K247" s="660" t="s">
        <v>4</v>
      </c>
      <c r="L247" s="670"/>
      <c r="M247" s="670"/>
      <c r="N247" s="431">
        <f>+K233+K219</f>
        <v>325.74715563672885</v>
      </c>
    </row>
    <row r="249" spans="1:18" s="665" customFormat="1" ht="17.399999999999999" x14ac:dyDescent="0.25">
      <c r="A249" s="666" t="s">
        <v>59</v>
      </c>
      <c r="B249" s="667"/>
      <c r="C249" s="667" t="s">
        <v>157</v>
      </c>
      <c r="D249" s="667"/>
      <c r="E249" s="667"/>
      <c r="F249" s="667"/>
      <c r="G249" s="668" t="s">
        <v>166</v>
      </c>
      <c r="H249" s="667"/>
      <c r="I249" s="667"/>
      <c r="J249" s="667"/>
      <c r="K249" s="428"/>
      <c r="L249" s="667"/>
      <c r="M249" s="667"/>
      <c r="N249" s="435">
        <f>+N255</f>
        <v>15.360669864172248</v>
      </c>
      <c r="O249" s="669" t="s">
        <v>462</v>
      </c>
      <c r="R249" s="314"/>
    </row>
    <row r="250" spans="1:18" x14ac:dyDescent="0.25">
      <c r="R250" s="665"/>
    </row>
    <row r="251" spans="1:18" x14ac:dyDescent="0.25">
      <c r="C251" s="687" t="s">
        <v>266</v>
      </c>
    </row>
    <row r="252" spans="1:18" x14ac:dyDescent="0.25">
      <c r="C252" s="687" t="s">
        <v>368</v>
      </c>
    </row>
    <row r="253" spans="1:18" x14ac:dyDescent="0.25">
      <c r="C253" s="687" t="s">
        <v>267</v>
      </c>
    </row>
    <row r="255" spans="1:18" x14ac:dyDescent="0.25">
      <c r="A255" s="665" t="s">
        <v>268</v>
      </c>
      <c r="C255" s="1436" t="s">
        <v>336</v>
      </c>
      <c r="D255" s="1436"/>
      <c r="E255" s="1436"/>
      <c r="F255" s="1436"/>
      <c r="G255" s="1436"/>
      <c r="H255" s="1436"/>
      <c r="I255" s="1436"/>
      <c r="J255" s="1436"/>
      <c r="K255" s="430"/>
      <c r="L255" s="671"/>
      <c r="M255" s="671"/>
      <c r="N255" s="431">
        <f>+((K264*(0.7*K260+0.3*K262)+(K266*(0.15*K260+0.45*K262+0.4*K262))))*K268</f>
        <v>15.360669864172248</v>
      </c>
    </row>
    <row r="256" spans="1:18" x14ac:dyDescent="0.25">
      <c r="K256" s="430"/>
      <c r="L256" s="671"/>
      <c r="M256" s="671"/>
      <c r="N256" s="430"/>
    </row>
    <row r="257" spans="1:18" x14ac:dyDescent="0.25">
      <c r="C257" s="737"/>
      <c r="K257" s="430"/>
      <c r="L257" s="671"/>
      <c r="M257" s="671"/>
      <c r="N257" s="430"/>
    </row>
    <row r="258" spans="1:18" x14ac:dyDescent="0.25">
      <c r="A258" s="687" t="s">
        <v>5</v>
      </c>
      <c r="B258" s="687"/>
      <c r="K258" s="430"/>
      <c r="L258" s="671"/>
      <c r="M258" s="675"/>
      <c r="N258" s="430"/>
    </row>
    <row r="259" spans="1:18" x14ac:dyDescent="0.25">
      <c r="K259" s="430"/>
      <c r="L259" s="671"/>
      <c r="M259" s="675"/>
      <c r="N259" s="430"/>
    </row>
    <row r="260" spans="1:18" x14ac:dyDescent="0.25">
      <c r="A260" s="693" t="s">
        <v>167</v>
      </c>
      <c r="B260" s="1233"/>
      <c r="C260" s="687" t="s">
        <v>270</v>
      </c>
      <c r="H260" s="738" t="s">
        <v>582</v>
      </c>
      <c r="K260" s="460">
        <f>+'[1]Hoja Llave'!O12</f>
        <v>3.3E-3</v>
      </c>
      <c r="M260" s="675">
        <f>+K260-'[1]Calculo FETAP ASETAC'!J256</f>
        <v>0</v>
      </c>
      <c r="N260" s="430"/>
    </row>
    <row r="261" spans="1:18" x14ac:dyDescent="0.25">
      <c r="A261" s="693"/>
      <c r="B261" s="1233"/>
      <c r="H261" s="738" t="s">
        <v>583</v>
      </c>
      <c r="K261" s="430"/>
      <c r="N261" s="430"/>
    </row>
    <row r="262" spans="1:18" x14ac:dyDescent="0.25">
      <c r="A262" s="693" t="s">
        <v>269</v>
      </c>
      <c r="B262" s="1233"/>
      <c r="C262" s="687" t="s">
        <v>271</v>
      </c>
      <c r="H262" s="738" t="s">
        <v>578</v>
      </c>
      <c r="K262" s="460">
        <f>+'[1]Hoja Llave'!O51</f>
        <v>4.1999999999999997E-3</v>
      </c>
      <c r="M262" s="675">
        <f>+K262-'[1]Calculo FETAP ASETAC'!J258</f>
        <v>0</v>
      </c>
      <c r="N262" s="430"/>
    </row>
    <row r="263" spans="1:18" x14ac:dyDescent="0.25">
      <c r="A263" s="693"/>
      <c r="B263" s="1233"/>
      <c r="H263" s="738" t="s">
        <v>579</v>
      </c>
      <c r="K263" s="430"/>
      <c r="N263" s="430"/>
    </row>
    <row r="264" spans="1:18" x14ac:dyDescent="0.25">
      <c r="A264" s="693" t="s">
        <v>193</v>
      </c>
      <c r="B264" s="1233"/>
      <c r="C264" s="687" t="s">
        <v>194</v>
      </c>
      <c r="H264" s="738" t="s">
        <v>580</v>
      </c>
      <c r="K264" s="460">
        <f>'Hoja Llave'!O41</f>
        <v>0.43440000000000001</v>
      </c>
      <c r="M264" s="675">
        <f>+K264-'[1]Calculo FETAP ASETAC'!J260</f>
        <v>1.3719983407664726E-2</v>
      </c>
      <c r="N264" s="430"/>
    </row>
    <row r="265" spans="1:18" x14ac:dyDescent="0.25">
      <c r="A265" s="693"/>
      <c r="B265" s="1233"/>
      <c r="C265" s="687"/>
      <c r="H265" s="738" t="s">
        <v>581</v>
      </c>
      <c r="K265" s="430"/>
      <c r="N265" s="430"/>
    </row>
    <row r="266" spans="1:18" x14ac:dyDescent="0.25">
      <c r="A266" s="693" t="s">
        <v>203</v>
      </c>
      <c r="B266" s="1233"/>
      <c r="C266" s="687" t="s">
        <v>206</v>
      </c>
      <c r="K266" s="460">
        <f>'Hoja Llave'!O42</f>
        <v>0.56559999999999999</v>
      </c>
      <c r="L266" s="671"/>
      <c r="M266" s="675">
        <f>+K266-'[1]Calculo FETAP ASETAC'!J262</f>
        <v>-1.3719983407664782E-2</v>
      </c>
      <c r="N266" s="430"/>
    </row>
    <row r="267" spans="1:18" x14ac:dyDescent="0.25">
      <c r="A267" s="693"/>
      <c r="B267" s="1233"/>
      <c r="K267" s="430"/>
      <c r="L267" s="671"/>
      <c r="M267" s="671"/>
      <c r="N267" s="430"/>
    </row>
    <row r="268" spans="1:18" x14ac:dyDescent="0.25">
      <c r="A268" s="693" t="s">
        <v>335</v>
      </c>
      <c r="B268" s="1233"/>
      <c r="C268" s="687" t="s">
        <v>272</v>
      </c>
      <c r="K268" s="739">
        <f>'Hoja Llave'!O16</f>
        <v>3989.8133971291868</v>
      </c>
      <c r="L268" s="671"/>
      <c r="M268" s="678">
        <f>+K268-'[1]Calculo FETAP ASETAC'!J264</f>
        <v>3862.6533971291869</v>
      </c>
      <c r="N268" s="430"/>
    </row>
    <row r="271" spans="1:18" s="665" customFormat="1" ht="17.399999999999999" x14ac:dyDescent="0.25">
      <c r="A271" s="666" t="s">
        <v>64</v>
      </c>
      <c r="B271" s="667"/>
      <c r="C271" s="667" t="s">
        <v>60</v>
      </c>
      <c r="D271" s="667"/>
      <c r="E271" s="667"/>
      <c r="F271" s="667"/>
      <c r="G271" s="668" t="s">
        <v>79</v>
      </c>
      <c r="H271" s="667"/>
      <c r="I271" s="667"/>
      <c r="J271" s="667"/>
      <c r="K271" s="428"/>
      <c r="L271" s="667"/>
      <c r="M271" s="667"/>
      <c r="N271" s="435">
        <f>+N306</f>
        <v>67.080790819171185</v>
      </c>
      <c r="O271" s="740"/>
      <c r="R271" s="314"/>
    </row>
    <row r="272" spans="1:18" x14ac:dyDescent="0.25">
      <c r="R272" s="665"/>
    </row>
    <row r="273" spans="1:18" ht="29.25" customHeight="1" x14ac:dyDescent="0.25">
      <c r="A273" s="741"/>
      <c r="B273" s="741"/>
      <c r="C273" s="1450" t="s">
        <v>273</v>
      </c>
      <c r="D273" s="1450"/>
      <c r="E273" s="1450"/>
      <c r="F273" s="1450"/>
      <c r="G273" s="1450"/>
      <c r="H273" s="1450"/>
      <c r="I273" s="1450"/>
      <c r="J273" s="1450"/>
      <c r="K273" s="1450"/>
      <c r="L273" s="1450"/>
      <c r="M273" s="1450"/>
      <c r="N273" s="1450"/>
    </row>
    <row r="274" spans="1:18" ht="29.25" customHeight="1" x14ac:dyDescent="0.25">
      <c r="A274" s="741"/>
      <c r="B274" s="741"/>
      <c r="C274" s="1450"/>
      <c r="D274" s="1450"/>
      <c r="E274" s="1450"/>
      <c r="F274" s="1450"/>
      <c r="G274" s="1450"/>
      <c r="H274" s="1450"/>
      <c r="I274" s="1450"/>
      <c r="J274" s="1450"/>
      <c r="K274" s="1450"/>
      <c r="L274" s="1450"/>
      <c r="M274" s="1450"/>
      <c r="N274" s="1450"/>
    </row>
    <row r="276" spans="1:18" x14ac:dyDescent="0.25">
      <c r="A276" s="687" t="s">
        <v>61</v>
      </c>
      <c r="B276" s="687"/>
    </row>
    <row r="278" spans="1:18" s="665" customFormat="1" x14ac:dyDescent="0.25">
      <c r="A278" s="693" t="s">
        <v>274</v>
      </c>
      <c r="B278" s="1233"/>
      <c r="C278" s="1436" t="s">
        <v>383</v>
      </c>
      <c r="D278" s="1436"/>
      <c r="E278" s="1436"/>
      <c r="F278" s="665" t="s">
        <v>4</v>
      </c>
      <c r="G278" s="665" t="str">
        <f>ROUND(+K282,4)&amp;"*((0,5*"&amp;K284&amp;"*J282"&amp;")+(0,5*"&amp;K284*K289&amp;"))"</f>
        <v>0,4344*((0,5*0,00011*J282)+(0,5*60,03748278))</v>
      </c>
      <c r="K278" s="742" t="s">
        <v>4</v>
      </c>
      <c r="L278" s="442">
        <f>+K282*((0.5*K284*K286)+(0.5*K284*K289))</f>
        <v>25.714746865631998</v>
      </c>
      <c r="R278" s="314"/>
    </row>
    <row r="279" spans="1:18" x14ac:dyDescent="0.25">
      <c r="R279" s="665"/>
    </row>
    <row r="280" spans="1:18" x14ac:dyDescent="0.25">
      <c r="A280" s="687" t="s">
        <v>5</v>
      </c>
      <c r="B280" s="687"/>
    </row>
    <row r="282" spans="1:18" x14ac:dyDescent="0.25">
      <c r="A282" s="693" t="s">
        <v>193</v>
      </c>
      <c r="B282" s="1233"/>
      <c r="C282" s="687" t="s">
        <v>194</v>
      </c>
      <c r="K282" s="460">
        <f>'Hoja Llave'!O41</f>
        <v>0.43440000000000001</v>
      </c>
      <c r="M282" s="675">
        <f>+K282-'[1]Calculo FETAP ASETAC'!J278</f>
        <v>1.3719983407664726E-2</v>
      </c>
    </row>
    <row r="283" spans="1:18" x14ac:dyDescent="0.25">
      <c r="K283" s="430"/>
    </row>
    <row r="284" spans="1:18" x14ac:dyDescent="0.25">
      <c r="A284" s="693" t="s">
        <v>171</v>
      </c>
      <c r="B284" s="1233"/>
      <c r="C284" s="314" t="s">
        <v>62</v>
      </c>
      <c r="K284" s="743">
        <f>+'[1]Hoja Llave'!O17</f>
        <v>1.1E-4</v>
      </c>
      <c r="M284" s="675">
        <f>+K284-'[1]Calculo FETAP ASETAC'!J280</f>
        <v>0</v>
      </c>
    </row>
    <row r="285" spans="1:18" x14ac:dyDescent="0.25">
      <c r="A285" s="693"/>
      <c r="B285" s="1233"/>
      <c r="K285" s="430"/>
      <c r="Q285" s="665">
        <v>0.6</v>
      </c>
    </row>
    <row r="286" spans="1:18" ht="12.75" customHeight="1" x14ac:dyDescent="0.25">
      <c r="A286" s="1434" t="s">
        <v>63</v>
      </c>
      <c r="B286" s="1237"/>
      <c r="C286" s="1453" t="s">
        <v>188</v>
      </c>
      <c r="D286" s="1453"/>
      <c r="E286" s="1453"/>
      <c r="F286" s="1453"/>
      <c r="G286" s="1453"/>
      <c r="H286" s="1453"/>
      <c r="I286" s="1453"/>
      <c r="J286" s="1453"/>
      <c r="K286" s="744">
        <f>'Hoja Llave'!O13</f>
        <v>530495.79799999995</v>
      </c>
      <c r="M286" s="678">
        <f>+K286-'[1]Calculo FETAP ASETAC'!J282</f>
        <v>504486.25799999997</v>
      </c>
      <c r="Q286" s="443" t="e">
        <f>+Q285*#REF!</f>
        <v>#REF!</v>
      </c>
    </row>
    <row r="287" spans="1:18" x14ac:dyDescent="0.25">
      <c r="A287" s="1434"/>
      <c r="B287" s="1237"/>
      <c r="C287" s="1453"/>
      <c r="D287" s="1453"/>
      <c r="E287" s="1453"/>
      <c r="F287" s="1453"/>
      <c r="G287" s="1453"/>
      <c r="H287" s="1453"/>
      <c r="I287" s="1453"/>
      <c r="J287" s="1453"/>
      <c r="K287" s="746"/>
      <c r="R287" s="745" t="e">
        <f>+#REF!+Q286</f>
        <v>#REF!</v>
      </c>
    </row>
    <row r="288" spans="1:18" x14ac:dyDescent="0.25">
      <c r="A288" s="693"/>
      <c r="B288" s="1233"/>
      <c r="K288" s="430"/>
    </row>
    <row r="289" spans="1:18" ht="12.75" customHeight="1" x14ac:dyDescent="0.25">
      <c r="A289" s="1434" t="s">
        <v>187</v>
      </c>
      <c r="B289" s="1237"/>
      <c r="C289" s="1450" t="s">
        <v>382</v>
      </c>
      <c r="D289" s="1453"/>
      <c r="E289" s="1453"/>
      <c r="F289" s="1453"/>
      <c r="G289" s="1453"/>
      <c r="H289" s="1453"/>
      <c r="I289" s="1453"/>
      <c r="J289" s="1453"/>
      <c r="K289" s="747">
        <f>'Hoja Llave'!O15</f>
        <v>545795.29799999995</v>
      </c>
      <c r="M289" s="678">
        <f>+K289-'[1]Calculo FETAP ASETAC'!J285</f>
        <v>514658.11799999996</v>
      </c>
    </row>
    <row r="290" spans="1:18" x14ac:dyDescent="0.25">
      <c r="A290" s="1434"/>
      <c r="B290" s="1237"/>
      <c r="C290" s="1453"/>
      <c r="D290" s="1453"/>
      <c r="E290" s="1453"/>
      <c r="F290" s="1453"/>
      <c r="G290" s="1453"/>
      <c r="H290" s="1453"/>
      <c r="I290" s="1453"/>
      <c r="J290" s="1453"/>
      <c r="Q290" s="443" t="e">
        <f>1.06356753126836*Q286</f>
        <v>#REF!</v>
      </c>
    </row>
    <row r="291" spans="1:18" x14ac:dyDescent="0.25">
      <c r="A291" s="748"/>
      <c r="B291" s="1237"/>
      <c r="C291" s="749"/>
      <c r="D291" s="749"/>
      <c r="E291" s="749"/>
      <c r="F291" s="749"/>
      <c r="G291" s="749"/>
      <c r="H291" s="749"/>
      <c r="I291" s="1236"/>
      <c r="J291" s="749"/>
      <c r="K291" s="659"/>
      <c r="R291" s="314" t="e">
        <f>+Q290*0.6</f>
        <v>#REF!</v>
      </c>
    </row>
    <row r="292" spans="1:18" x14ac:dyDescent="0.25">
      <c r="A292" s="748"/>
      <c r="B292" s="1237"/>
      <c r="C292" s="749"/>
      <c r="D292" s="749"/>
      <c r="E292" s="749"/>
      <c r="F292" s="749"/>
      <c r="G292" s="749"/>
      <c r="H292" s="749"/>
      <c r="I292" s="1236"/>
      <c r="J292" s="749"/>
      <c r="K292" s="659"/>
    </row>
    <row r="293" spans="1:18" x14ac:dyDescent="0.25">
      <c r="A293" s="674" t="s">
        <v>275</v>
      </c>
      <c r="B293" s="1228"/>
      <c r="C293" s="1456" t="s">
        <v>381</v>
      </c>
      <c r="D293" s="1456"/>
      <c r="E293" s="1456"/>
      <c r="F293" s="1456"/>
      <c r="G293" s="1456"/>
      <c r="H293" s="1456"/>
      <c r="I293" s="1456"/>
      <c r="J293" s="1456"/>
      <c r="K293" s="750" t="s">
        <v>4</v>
      </c>
      <c r="L293" s="442">
        <f>+K297*((0.7*K299*K303)+(0.3*K301*K303))</f>
        <v>41.36604395353919</v>
      </c>
      <c r="M293" s="671"/>
      <c r="N293" s="444">
        <v>0.49819999999999998</v>
      </c>
      <c r="O293" s="751" t="s">
        <v>463</v>
      </c>
      <c r="P293" s="752"/>
    </row>
    <row r="294" spans="1:18" x14ac:dyDescent="0.25">
      <c r="K294" s="659"/>
    </row>
    <row r="295" spans="1:18" x14ac:dyDescent="0.25">
      <c r="A295" s="687" t="s">
        <v>5</v>
      </c>
      <c r="B295" s="687"/>
      <c r="K295" s="659"/>
    </row>
    <row r="296" spans="1:18" x14ac:dyDescent="0.25">
      <c r="K296" s="659"/>
    </row>
    <row r="297" spans="1:18" x14ac:dyDescent="0.25">
      <c r="A297" s="693" t="s">
        <v>203</v>
      </c>
      <c r="B297" s="1233"/>
      <c r="C297" s="687" t="s">
        <v>206</v>
      </c>
      <c r="K297" s="753">
        <f>'Hoja Llave'!O42</f>
        <v>0.56559999999999999</v>
      </c>
      <c r="M297" s="675">
        <f>+K297-'[1]Calculo FETAP ASETAC'!J293</f>
        <v>-1.3719983407664782E-2</v>
      </c>
      <c r="O297" s="754"/>
    </row>
    <row r="298" spans="1:18" x14ac:dyDescent="0.25">
      <c r="K298" s="659"/>
    </row>
    <row r="299" spans="1:18" x14ac:dyDescent="0.25">
      <c r="A299" s="693" t="s">
        <v>171</v>
      </c>
      <c r="B299" s="1233"/>
      <c r="C299" s="314" t="s">
        <v>375</v>
      </c>
      <c r="K299" s="755">
        <f>+'[1]Hoja Llave'!O17</f>
        <v>1.1E-4</v>
      </c>
      <c r="M299" s="675">
        <f>+K299-'[1]Calculo FETAP ASETAC'!J295</f>
        <v>0</v>
      </c>
    </row>
    <row r="300" spans="1:18" x14ac:dyDescent="0.25">
      <c r="A300" s="693"/>
      <c r="B300" s="1233"/>
      <c r="K300" s="58"/>
    </row>
    <row r="301" spans="1:18" x14ac:dyDescent="0.25">
      <c r="A301" s="693" t="s">
        <v>374</v>
      </c>
      <c r="B301" s="1233"/>
      <c r="C301" s="314" t="s">
        <v>376</v>
      </c>
      <c r="K301" s="756">
        <f>+'[1]Hoja Llave'!O18</f>
        <v>1.9000000000000001E-4</v>
      </c>
      <c r="M301" s="675">
        <f>+K301-'[1]Calculo FETAP ASETAC'!J297</f>
        <v>0</v>
      </c>
    </row>
    <row r="302" spans="1:18" x14ac:dyDescent="0.25">
      <c r="A302" s="693"/>
      <c r="B302" s="1233"/>
      <c r="K302" s="659"/>
    </row>
    <row r="303" spans="1:18" x14ac:dyDescent="0.25">
      <c r="A303" s="1434" t="s">
        <v>187</v>
      </c>
      <c r="B303" s="1237"/>
      <c r="C303" s="1450" t="s">
        <v>382</v>
      </c>
      <c r="D303" s="1453"/>
      <c r="E303" s="1453"/>
      <c r="F303" s="1453"/>
      <c r="G303" s="1453"/>
      <c r="H303" s="1453"/>
      <c r="I303" s="1453"/>
      <c r="J303" s="1453"/>
      <c r="K303" s="747">
        <f>'Hoja Llave'!O15</f>
        <v>545795.29799999995</v>
      </c>
      <c r="M303" s="678">
        <f>+K303-'[1]Calculo FETAP ASETAC'!J299</f>
        <v>514658.11799999996</v>
      </c>
    </row>
    <row r="304" spans="1:18" x14ac:dyDescent="0.25">
      <c r="A304" s="1434"/>
      <c r="B304" s="1237"/>
      <c r="C304" s="1453"/>
      <c r="D304" s="1453"/>
      <c r="E304" s="1453"/>
      <c r="F304" s="1453"/>
      <c r="G304" s="1453"/>
      <c r="H304" s="1453"/>
      <c r="I304" s="1453"/>
      <c r="J304" s="1453"/>
    </row>
    <row r="305" spans="1:18" x14ac:dyDescent="0.25">
      <c r="A305" s="748"/>
      <c r="B305" s="1237"/>
      <c r="C305" s="749"/>
      <c r="D305" s="749"/>
      <c r="E305" s="749"/>
      <c r="F305" s="749"/>
      <c r="G305" s="749"/>
      <c r="H305" s="749"/>
      <c r="I305" s="1236"/>
      <c r="J305" s="749"/>
    </row>
    <row r="306" spans="1:18" ht="12.75" customHeight="1" x14ac:dyDescent="0.25">
      <c r="A306" s="748" t="s">
        <v>276</v>
      </c>
      <c r="B306" s="1237"/>
      <c r="C306" s="1434" t="s">
        <v>277</v>
      </c>
      <c r="D306" s="1434"/>
      <c r="E306" s="1434"/>
      <c r="F306" s="757" t="s">
        <v>4</v>
      </c>
      <c r="G306" s="1454" t="str">
        <f>+ROUND(L278,4)&amp;" + "&amp;ROUND(L293,4)</f>
        <v>25,7147 + 41,366</v>
      </c>
      <c r="H306" s="1434"/>
      <c r="I306" s="1434"/>
      <c r="J306" s="758" t="s">
        <v>4</v>
      </c>
      <c r="K306" s="100"/>
      <c r="L306" s="665"/>
      <c r="M306" s="665"/>
      <c r="N306" s="100">
        <f>+L293+L278</f>
        <v>67.080790819171185</v>
      </c>
    </row>
    <row r="307" spans="1:18" x14ac:dyDescent="0.25">
      <c r="A307" s="748"/>
      <c r="B307" s="1237"/>
      <c r="C307" s="748"/>
      <c r="D307" s="748"/>
      <c r="E307" s="748"/>
      <c r="F307" s="757"/>
      <c r="G307" s="749"/>
      <c r="H307" s="749"/>
      <c r="I307" s="1236"/>
      <c r="J307" s="749"/>
    </row>
    <row r="308" spans="1:18" x14ac:dyDescent="0.25">
      <c r="A308" s="748"/>
      <c r="B308" s="1237"/>
      <c r="C308" s="749"/>
      <c r="D308" s="749"/>
      <c r="E308" s="749"/>
      <c r="F308" s="749"/>
      <c r="G308" s="749"/>
      <c r="H308" s="749"/>
      <c r="I308" s="1236"/>
      <c r="J308" s="749"/>
    </row>
    <row r="309" spans="1:18" s="665" customFormat="1" ht="18" customHeight="1" x14ac:dyDescent="0.25">
      <c r="A309" s="666" t="s">
        <v>66</v>
      </c>
      <c r="B309" s="667"/>
      <c r="C309" s="667" t="s">
        <v>65</v>
      </c>
      <c r="D309" s="667"/>
      <c r="E309" s="667"/>
      <c r="F309" s="667"/>
      <c r="G309" s="668" t="s">
        <v>78</v>
      </c>
      <c r="H309" s="667"/>
      <c r="I309" s="667"/>
      <c r="J309" s="667"/>
      <c r="K309" s="428"/>
      <c r="L309" s="667"/>
      <c r="M309" s="667"/>
      <c r="N309" s="435">
        <f>+N311</f>
        <v>6.708079081917119</v>
      </c>
      <c r="O309" s="669" t="s">
        <v>462</v>
      </c>
      <c r="R309" s="314"/>
    </row>
    <row r="310" spans="1:18" x14ac:dyDescent="0.25">
      <c r="O310" s="685"/>
      <c r="R310" s="665"/>
    </row>
    <row r="311" spans="1:18" s="665" customFormat="1" x14ac:dyDescent="0.25">
      <c r="A311" s="693" t="s">
        <v>163</v>
      </c>
      <c r="B311" s="1233"/>
      <c r="C311" s="1436" t="s">
        <v>278</v>
      </c>
      <c r="D311" s="1436"/>
      <c r="E311" s="693" t="s">
        <v>4</v>
      </c>
      <c r="F311" s="1455" t="str">
        <f>0.1&amp;" . "&amp;ROUND(N306,4)</f>
        <v>0,1 . 67,0808</v>
      </c>
      <c r="G311" s="1455"/>
      <c r="H311" s="1455"/>
      <c r="I311" s="1455"/>
      <c r="J311" s="693" t="s">
        <v>4</v>
      </c>
      <c r="K311" s="100"/>
      <c r="N311" s="431">
        <f>+N306*0.1</f>
        <v>6.708079081917119</v>
      </c>
      <c r="O311" s="693"/>
      <c r="R311" s="314"/>
    </row>
    <row r="312" spans="1:18" x14ac:dyDescent="0.25">
      <c r="O312" s="685"/>
      <c r="R312" s="665"/>
    </row>
    <row r="313" spans="1:18" x14ac:dyDescent="0.25">
      <c r="O313" s="685"/>
    </row>
    <row r="314" spans="1:18" s="665" customFormat="1" ht="17.399999999999999" x14ac:dyDescent="0.25">
      <c r="A314" s="666" t="s">
        <v>168</v>
      </c>
      <c r="B314" s="667"/>
      <c r="C314" s="667" t="s">
        <v>67</v>
      </c>
      <c r="D314" s="667"/>
      <c r="E314" s="667"/>
      <c r="F314" s="667"/>
      <c r="G314" s="668" t="s">
        <v>77</v>
      </c>
      <c r="H314" s="667"/>
      <c r="I314" s="667"/>
      <c r="J314" s="667"/>
      <c r="K314" s="428"/>
      <c r="L314" s="667"/>
      <c r="M314" s="667"/>
      <c r="N314" s="435">
        <f>+N316</f>
        <v>4.041666666666667</v>
      </c>
      <c r="O314" s="669" t="s">
        <v>462</v>
      </c>
      <c r="R314" s="314"/>
    </row>
    <row r="315" spans="1:18" x14ac:dyDescent="0.25">
      <c r="O315" s="685"/>
      <c r="R315" s="665"/>
    </row>
    <row r="316" spans="1:18" s="665" customFormat="1" x14ac:dyDescent="0.25">
      <c r="A316" s="1436" t="s">
        <v>68</v>
      </c>
      <c r="B316" s="1233"/>
      <c r="C316" s="1433" t="s">
        <v>69</v>
      </c>
      <c r="D316" s="1433"/>
      <c r="E316" s="1436" t="s">
        <v>4</v>
      </c>
      <c r="F316" s="1445">
        <f>ROUND(+K321,0)</f>
        <v>12125</v>
      </c>
      <c r="G316" s="1445"/>
      <c r="H316" s="1445"/>
      <c r="I316" s="1445"/>
      <c r="J316" s="1436" t="s">
        <v>4</v>
      </c>
      <c r="K316" s="100"/>
      <c r="N316" s="100">
        <f>+F316/F317</f>
        <v>4.041666666666667</v>
      </c>
      <c r="O316" s="693"/>
      <c r="R316" s="314"/>
    </row>
    <row r="317" spans="1:18" s="665" customFormat="1" x14ac:dyDescent="0.25">
      <c r="A317" s="1436"/>
      <c r="B317" s="1233"/>
      <c r="C317" s="1436" t="s">
        <v>70</v>
      </c>
      <c r="D317" s="1436"/>
      <c r="E317" s="1436"/>
      <c r="F317" s="1451">
        <v>3000</v>
      </c>
      <c r="G317" s="1451"/>
      <c r="H317" s="1451"/>
      <c r="I317" s="1451"/>
      <c r="J317" s="1436"/>
      <c r="K317" s="100"/>
      <c r="N317" s="100"/>
      <c r="O317" s="693"/>
    </row>
    <row r="318" spans="1:18" x14ac:dyDescent="0.25">
      <c r="O318" s="685"/>
      <c r="R318" s="665"/>
    </row>
    <row r="319" spans="1:18" x14ac:dyDescent="0.25">
      <c r="A319" s="687" t="s">
        <v>5</v>
      </c>
      <c r="B319" s="687"/>
      <c r="O319" s="685"/>
    </row>
    <row r="320" spans="1:18" x14ac:dyDescent="0.25">
      <c r="O320" s="685"/>
    </row>
    <row r="321" spans="1:18" x14ac:dyDescent="0.25">
      <c r="A321" s="693" t="s">
        <v>69</v>
      </c>
      <c r="B321" s="1233"/>
      <c r="C321" s="314" t="s">
        <v>71</v>
      </c>
      <c r="K321" s="759">
        <f>'Hoja Llave'!O23</f>
        <v>12124.594842965442</v>
      </c>
      <c r="M321" s="675"/>
      <c r="O321" s="685"/>
    </row>
    <row r="322" spans="1:18" x14ac:dyDescent="0.25">
      <c r="O322" s="685"/>
    </row>
    <row r="323" spans="1:18" x14ac:dyDescent="0.25">
      <c r="O323" s="685"/>
    </row>
    <row r="324" spans="1:18" s="665" customFormat="1" x14ac:dyDescent="0.25">
      <c r="A324" s="661" t="s">
        <v>72</v>
      </c>
      <c r="B324" s="662"/>
      <c r="C324" s="662"/>
      <c r="D324" s="662"/>
      <c r="E324" s="662"/>
      <c r="F324" s="662"/>
      <c r="G324" s="663"/>
      <c r="H324" s="662"/>
      <c r="I324" s="662"/>
      <c r="J324" s="662"/>
      <c r="K324" s="101"/>
      <c r="L324" s="662"/>
      <c r="M324" s="662"/>
      <c r="N324" s="445">
        <f>+N326</f>
        <v>418.93836206865609</v>
      </c>
      <c r="O324" s="693"/>
      <c r="R324" s="314"/>
    </row>
    <row r="325" spans="1:18" x14ac:dyDescent="0.25">
      <c r="O325" s="685"/>
      <c r="R325" s="665"/>
    </row>
    <row r="326" spans="1:18" s="665" customFormat="1" x14ac:dyDescent="0.25">
      <c r="A326" s="729" t="s">
        <v>73</v>
      </c>
      <c r="B326" s="729"/>
      <c r="C326" s="729" t="s">
        <v>169</v>
      </c>
      <c r="D326" s="729"/>
      <c r="E326" s="729" t="s">
        <v>4</v>
      </c>
      <c r="F326" s="1441" t="str">
        <f>+ROUND(N217,4)&amp;" + "&amp;ROUND(N249,4)&amp;" + "&amp;ROUND(N271,4)&amp;" + "&amp;ROUND(N309,4)&amp;" + "&amp;ROUND(N314,4)</f>
        <v>325,7472 + 15,3607 + 67,0808 + 6,7081 + 4,0417</v>
      </c>
      <c r="G326" s="1441"/>
      <c r="H326" s="1441"/>
      <c r="I326" s="1441"/>
      <c r="J326" s="1441"/>
      <c r="K326" s="439" t="s">
        <v>4</v>
      </c>
      <c r="L326" s="729"/>
      <c r="M326" s="729"/>
      <c r="N326" s="440">
        <f>+N314+N309+N271+N249+N217</f>
        <v>418.93836206865609</v>
      </c>
      <c r="O326" s="730"/>
      <c r="R326" s="314"/>
    </row>
    <row r="327" spans="1:18" x14ac:dyDescent="0.25">
      <c r="O327" s="685"/>
      <c r="R327" s="665"/>
    </row>
    <row r="328" spans="1:18" x14ac:dyDescent="0.25">
      <c r="O328" s="685"/>
    </row>
    <row r="329" spans="1:18" s="665" customFormat="1" x14ac:dyDescent="0.25">
      <c r="A329" s="661" t="s">
        <v>74</v>
      </c>
      <c r="B329" s="662"/>
      <c r="C329" s="662" t="s">
        <v>75</v>
      </c>
      <c r="D329" s="662"/>
      <c r="E329" s="662"/>
      <c r="F329" s="662"/>
      <c r="G329" s="663" t="s">
        <v>76</v>
      </c>
      <c r="H329" s="662"/>
      <c r="I329" s="662"/>
      <c r="J329" s="662"/>
      <c r="K329" s="101"/>
      <c r="L329" s="662"/>
      <c r="M329" s="662"/>
      <c r="N329" s="438"/>
      <c r="O329" s="693"/>
      <c r="R329" s="314"/>
    </row>
    <row r="330" spans="1:18" x14ac:dyDescent="0.25">
      <c r="O330" s="685"/>
      <c r="R330" s="665"/>
    </row>
    <row r="331" spans="1:18" x14ac:dyDescent="0.25">
      <c r="O331" s="685"/>
    </row>
    <row r="332" spans="1:18" s="665" customFormat="1" ht="17.399999999999999" x14ac:dyDescent="0.25">
      <c r="A332" s="666" t="s">
        <v>81</v>
      </c>
      <c r="B332" s="667"/>
      <c r="C332" s="667" t="s">
        <v>82</v>
      </c>
      <c r="D332" s="667"/>
      <c r="E332" s="667"/>
      <c r="F332" s="667"/>
      <c r="G332" s="668" t="s">
        <v>84</v>
      </c>
      <c r="H332" s="667"/>
      <c r="I332" s="667"/>
      <c r="J332" s="667"/>
      <c r="K332" s="428"/>
      <c r="L332" s="667"/>
      <c r="M332" s="667"/>
      <c r="N332" s="435">
        <f>+N380</f>
        <v>164.53577704735693</v>
      </c>
      <c r="O332" s="669"/>
      <c r="R332" s="314"/>
    </row>
    <row r="333" spans="1:18" x14ac:dyDescent="0.25">
      <c r="R333" s="665"/>
    </row>
    <row r="334" spans="1:18" s="665" customFormat="1" x14ac:dyDescent="0.25">
      <c r="A334" s="1436" t="s">
        <v>281</v>
      </c>
      <c r="B334" s="1233"/>
      <c r="C334" s="1433" t="s">
        <v>279</v>
      </c>
      <c r="D334" s="1433"/>
      <c r="E334" s="1436" t="s">
        <v>4</v>
      </c>
      <c r="F334" s="1433" t="str">
        <f>ROUND(+K339,4)&amp;" . "&amp;ROUND(K341,4)&amp;" . "&amp;ROUND(K347,4)</f>
        <v>0,08 . 0,4344 . 156898102,4705</v>
      </c>
      <c r="G334" s="1433"/>
      <c r="H334" s="1433"/>
      <c r="I334" s="1433"/>
      <c r="J334" s="1436" t="s">
        <v>4</v>
      </c>
      <c r="K334" s="431">
        <f>+(K339*K341*K347)/(K343)</f>
        <v>62.534456898215403</v>
      </c>
      <c r="O334" s="760"/>
      <c r="P334" s="446"/>
      <c r="R334" s="314"/>
    </row>
    <row r="335" spans="1:18" s="665" customFormat="1" x14ac:dyDescent="0.25">
      <c r="A335" s="1436"/>
      <c r="B335" s="1233"/>
      <c r="C335" s="1436" t="s">
        <v>280</v>
      </c>
      <c r="D335" s="1436"/>
      <c r="E335" s="1436"/>
      <c r="F335" s="1452">
        <f>+K343</f>
        <v>87192.295695960551</v>
      </c>
      <c r="G335" s="1452"/>
      <c r="H335" s="1452"/>
      <c r="I335" s="1452"/>
      <c r="J335" s="1436"/>
      <c r="K335" s="431"/>
      <c r="N335" s="100"/>
      <c r="P335" s="761"/>
    </row>
    <row r="336" spans="1:18" x14ac:dyDescent="0.25">
      <c r="K336" s="430"/>
      <c r="R336" s="665"/>
    </row>
    <row r="337" spans="1:15" x14ac:dyDescent="0.25">
      <c r="A337" s="687" t="s">
        <v>5</v>
      </c>
      <c r="B337" s="687"/>
      <c r="K337" s="430"/>
    </row>
    <row r="338" spans="1:15" x14ac:dyDescent="0.25">
      <c r="K338" s="430"/>
    </row>
    <row r="339" spans="1:15" x14ac:dyDescent="0.25">
      <c r="A339" s="693" t="s">
        <v>83</v>
      </c>
      <c r="B339" s="1233"/>
      <c r="C339" s="687" t="s">
        <v>285</v>
      </c>
      <c r="K339" s="460">
        <f>+'[1]Hoja Llave'!O20</f>
        <v>0.08</v>
      </c>
      <c r="M339" s="675">
        <f>+K339-'[1]Calculo FETAP ASETAC'!J335</f>
        <v>0</v>
      </c>
    </row>
    <row r="340" spans="1:15" x14ac:dyDescent="0.25">
      <c r="A340" s="693"/>
      <c r="B340" s="1233"/>
      <c r="K340" s="430"/>
    </row>
    <row r="341" spans="1:15" x14ac:dyDescent="0.25">
      <c r="A341" s="693" t="s">
        <v>193</v>
      </c>
      <c r="B341" s="1233"/>
      <c r="C341" s="687" t="s">
        <v>194</v>
      </c>
      <c r="K341" s="460">
        <f>'Hoja Llave'!O41</f>
        <v>0.43440000000000001</v>
      </c>
      <c r="M341" s="675">
        <f>+K341-'[1]Calculo FETAP ASETAC'!J337</f>
        <v>1.3719983407664726E-2</v>
      </c>
    </row>
    <row r="342" spans="1:15" x14ac:dyDescent="0.25">
      <c r="A342" s="693"/>
      <c r="B342" s="1233"/>
      <c r="K342" s="430"/>
    </row>
    <row r="343" spans="1:15" x14ac:dyDescent="0.25">
      <c r="A343" s="674" t="s">
        <v>333</v>
      </c>
      <c r="B343" s="1228"/>
      <c r="C343" s="673" t="s">
        <v>235</v>
      </c>
      <c r="D343" s="671"/>
      <c r="E343" s="671"/>
      <c r="F343" s="671"/>
      <c r="G343" s="672"/>
      <c r="H343" s="671"/>
      <c r="I343" s="673"/>
      <c r="J343" s="671"/>
      <c r="K343" s="717">
        <f>'Hoja Llave'!O33</f>
        <v>87192.295695960551</v>
      </c>
      <c r="L343" s="671"/>
      <c r="M343" s="678">
        <f>+K343-'[1]Calculo FETAP ASETAC'!J339</f>
        <v>-12707.704304039449</v>
      </c>
      <c r="N343" s="421" t="s">
        <v>707</v>
      </c>
      <c r="O343" s="671"/>
    </row>
    <row r="344" spans="1:15" x14ac:dyDescent="0.25">
      <c r="K344" s="430"/>
    </row>
    <row r="345" spans="1:15" x14ac:dyDescent="0.25">
      <c r="A345" s="687" t="s">
        <v>282</v>
      </c>
      <c r="B345" s="687"/>
      <c r="K345" s="430"/>
    </row>
    <row r="346" spans="1:15" x14ac:dyDescent="0.25">
      <c r="K346" s="430"/>
    </row>
    <row r="347" spans="1:15" x14ac:dyDescent="0.25">
      <c r="A347" s="693" t="s">
        <v>283</v>
      </c>
      <c r="B347" s="1233"/>
      <c r="C347" s="1436" t="s">
        <v>284</v>
      </c>
      <c r="D347" s="1436"/>
      <c r="E347" s="736" t="s">
        <v>4</v>
      </c>
      <c r="F347" s="1436" t="str">
        <f>+"0,70"&amp;" . "&amp;ROUND(K351,4)&amp;" + "&amp;"0,30"&amp;" . "&amp;ROUND(K353,4)</f>
        <v>0,70 . 134024283,8422 + 0,30 . 210270345,9367</v>
      </c>
      <c r="G347" s="1436"/>
      <c r="H347" s="1436"/>
      <c r="I347" s="1436"/>
      <c r="J347" s="687" t="s">
        <v>4</v>
      </c>
      <c r="K347" s="431">
        <f>+(0.7*K351)+(0.3*K353)</f>
        <v>156898102.4705196</v>
      </c>
    </row>
    <row r="348" spans="1:15" x14ac:dyDescent="0.25">
      <c r="K348" s="430"/>
    </row>
    <row r="349" spans="1:15" x14ac:dyDescent="0.25">
      <c r="A349" s="687" t="s">
        <v>5</v>
      </c>
      <c r="B349" s="687"/>
      <c r="K349" s="430"/>
    </row>
    <row r="350" spans="1:15" x14ac:dyDescent="0.25">
      <c r="K350" s="430"/>
    </row>
    <row r="351" spans="1:15" x14ac:dyDescent="0.25">
      <c r="A351" s="693" t="s">
        <v>286</v>
      </c>
      <c r="B351" s="1233"/>
      <c r="C351" s="687" t="s">
        <v>287</v>
      </c>
      <c r="K351" s="460">
        <f>'Hoja Llave'!O52</f>
        <v>134024283.84217088</v>
      </c>
      <c r="M351" s="678">
        <f>+K351-'[1]Calculo FETAP ASETAC'!J347</f>
        <v>129853085.55217087</v>
      </c>
    </row>
    <row r="352" spans="1:15" x14ac:dyDescent="0.25">
      <c r="A352" s="693"/>
      <c r="B352" s="1233"/>
      <c r="C352" s="687"/>
      <c r="K352" s="430"/>
    </row>
    <row r="353" spans="1:14" x14ac:dyDescent="0.25">
      <c r="A353" s="693" t="s">
        <v>241</v>
      </c>
      <c r="B353" s="1233"/>
      <c r="C353" s="687" t="s">
        <v>288</v>
      </c>
      <c r="K353" s="460">
        <f>'Hoja Llave'!O53</f>
        <v>210270345.93666664</v>
      </c>
      <c r="M353" s="675">
        <f>+K353-'[1]Calculo FETAP ASETAC'!J349</f>
        <v>204227197.79806665</v>
      </c>
    </row>
    <row r="354" spans="1:14" x14ac:dyDescent="0.25">
      <c r="A354" s="693"/>
      <c r="B354" s="1233"/>
      <c r="C354" s="687"/>
      <c r="K354" s="430"/>
    </row>
    <row r="355" spans="1:14" x14ac:dyDescent="0.25">
      <c r="A355" s="693"/>
      <c r="B355" s="1233"/>
      <c r="C355" s="687"/>
      <c r="K355" s="430"/>
    </row>
    <row r="356" spans="1:14" x14ac:dyDescent="0.25">
      <c r="A356" s="693" t="s">
        <v>289</v>
      </c>
      <c r="B356" s="1233"/>
      <c r="C356" s="1433" t="s">
        <v>290</v>
      </c>
      <c r="D356" s="1433"/>
      <c r="E356" s="762" t="s">
        <v>4</v>
      </c>
      <c r="F356" s="1433" t="str">
        <f>+K361&amp;" . "&amp;ROUND(K363,4)&amp;" . "&amp;ROUND(K370,4)</f>
        <v>0,08 . 0,5656 . 212629988,256</v>
      </c>
      <c r="G356" s="1433"/>
      <c r="H356" s="1433"/>
      <c r="I356" s="1433"/>
      <c r="J356" s="687" t="s">
        <v>4</v>
      </c>
      <c r="K356" s="431">
        <f>+(K361*K363*K370)/K365</f>
        <v>102.00132014914153</v>
      </c>
    </row>
    <row r="357" spans="1:14" x14ac:dyDescent="0.25">
      <c r="A357" s="693"/>
      <c r="B357" s="1233"/>
      <c r="C357" s="1440" t="s">
        <v>234</v>
      </c>
      <c r="D357" s="1440"/>
      <c r="E357" s="763"/>
      <c r="F357" s="1451">
        <f>ROUND(+K365,0)</f>
        <v>94323</v>
      </c>
      <c r="G357" s="1451"/>
      <c r="H357" s="1451"/>
      <c r="I357" s="1451"/>
      <c r="K357" s="430"/>
    </row>
    <row r="358" spans="1:14" x14ac:dyDescent="0.25">
      <c r="A358" s="693"/>
      <c r="B358" s="1233"/>
      <c r="C358" s="687"/>
      <c r="K358" s="430"/>
    </row>
    <row r="359" spans="1:14" x14ac:dyDescent="0.25">
      <c r="A359" s="736" t="s">
        <v>5</v>
      </c>
      <c r="B359" s="736"/>
      <c r="C359" s="687"/>
      <c r="K359" s="430"/>
    </row>
    <row r="360" spans="1:14" x14ac:dyDescent="0.25">
      <c r="A360" s="693"/>
      <c r="B360" s="1233"/>
      <c r="C360" s="687"/>
      <c r="K360" s="430"/>
    </row>
    <row r="361" spans="1:14" x14ac:dyDescent="0.25">
      <c r="A361" s="693" t="s">
        <v>83</v>
      </c>
      <c r="B361" s="1233"/>
      <c r="C361" s="687" t="s">
        <v>285</v>
      </c>
      <c r="K361" s="460">
        <f>+'[1]Hoja Llave'!O20</f>
        <v>0.08</v>
      </c>
      <c r="M361" s="675">
        <f>+K361-'[1]Calculo FETAP ASETAC'!J357</f>
        <v>0</v>
      </c>
    </row>
    <row r="362" spans="1:14" x14ac:dyDescent="0.25">
      <c r="A362" s="693"/>
      <c r="B362" s="1233"/>
      <c r="C362" s="687"/>
      <c r="K362" s="430"/>
    </row>
    <row r="363" spans="1:14" x14ac:dyDescent="0.25">
      <c r="A363" s="693" t="s">
        <v>291</v>
      </c>
      <c r="B363" s="1233"/>
      <c r="C363" s="687" t="s">
        <v>206</v>
      </c>
      <c r="K363" s="460">
        <f>'Hoja Llave'!O42</f>
        <v>0.56559999999999999</v>
      </c>
      <c r="M363" s="675">
        <f>+K363-'[1]Calculo FETAP ASETAC'!J359</f>
        <v>-1.3719983407664782E-2</v>
      </c>
    </row>
    <row r="364" spans="1:14" x14ac:dyDescent="0.25">
      <c r="A364" s="693"/>
      <c r="B364" s="1233"/>
      <c r="C364" s="687"/>
      <c r="K364" s="430"/>
    </row>
    <row r="365" spans="1:14" x14ac:dyDescent="0.25">
      <c r="A365" s="693" t="s">
        <v>234</v>
      </c>
      <c r="B365" s="1233"/>
      <c r="C365" s="687" t="s">
        <v>236</v>
      </c>
      <c r="K365" s="717">
        <f>'Hoja Llave'!O34</f>
        <v>94323.109686616328</v>
      </c>
      <c r="M365" s="678">
        <f>+K365-'[1]Calculo FETAP ASETAC'!J361</f>
        <v>-55040.890313383672</v>
      </c>
      <c r="N365" s="421" t="s">
        <v>707</v>
      </c>
    </row>
    <row r="366" spans="1:14" x14ac:dyDescent="0.25">
      <c r="A366" s="693"/>
      <c r="B366" s="1233"/>
      <c r="C366" s="687"/>
      <c r="K366" s="430"/>
    </row>
    <row r="367" spans="1:14" x14ac:dyDescent="0.25">
      <c r="A367" s="693"/>
      <c r="B367" s="1233"/>
      <c r="C367" s="687"/>
      <c r="K367" s="430"/>
    </row>
    <row r="368" spans="1:14" x14ac:dyDescent="0.25">
      <c r="A368" s="698" t="s">
        <v>292</v>
      </c>
      <c r="B368" s="698"/>
      <c r="C368" s="687"/>
      <c r="K368" s="430"/>
    </row>
    <row r="369" spans="1:21" x14ac:dyDescent="0.25">
      <c r="A369" s="693"/>
      <c r="B369" s="1233"/>
      <c r="C369" s="687"/>
      <c r="K369" s="430"/>
    </row>
    <row r="370" spans="1:21" x14ac:dyDescent="0.25">
      <c r="A370" s="693" t="s">
        <v>293</v>
      </c>
      <c r="B370" s="1233"/>
      <c r="C370" s="1436" t="s">
        <v>294</v>
      </c>
      <c r="D370" s="1436"/>
      <c r="E370" s="693" t="s">
        <v>4</v>
      </c>
      <c r="F370" s="1436" t="str">
        <f>+"0,15"&amp;" . "&amp;ROUND(K374,4)&amp;" + "&amp;"0,45"&amp;" . "&amp;ROUND(K376,4)&amp;" + "&amp;"0,40"&amp;" . "&amp;ROUND(K378,4)</f>
        <v>0,15 . 134024283,8422 + 0,45 . 210270345,9367 + 0,40 . 244761725,0204</v>
      </c>
      <c r="G370" s="1436"/>
      <c r="H370" s="1436"/>
      <c r="I370" s="1436"/>
      <c r="J370" s="665" t="s">
        <v>4</v>
      </c>
      <c r="K370" s="447">
        <f>+(0.15*K374)+(0.45*K376)+(0.4*K378)</f>
        <v>212629988.25599241</v>
      </c>
    </row>
    <row r="371" spans="1:21" x14ac:dyDescent="0.25">
      <c r="A371" s="693"/>
      <c r="B371" s="1233"/>
      <c r="C371" s="693"/>
      <c r="D371" s="693"/>
      <c r="E371" s="693"/>
      <c r="F371" s="693"/>
      <c r="G371" s="693"/>
      <c r="T371" s="314" t="s">
        <v>555</v>
      </c>
    </row>
    <row r="372" spans="1:21" x14ac:dyDescent="0.25">
      <c r="A372" s="736" t="s">
        <v>5</v>
      </c>
      <c r="B372" s="736"/>
      <c r="C372" s="693"/>
      <c r="D372" s="693"/>
      <c r="E372" s="693"/>
      <c r="F372" s="693"/>
      <c r="G372" s="693"/>
      <c r="Q372" s="764"/>
      <c r="S372" s="765"/>
    </row>
    <row r="373" spans="1:21" ht="15.6" x14ac:dyDescent="0.25">
      <c r="A373" s="693"/>
      <c r="B373" s="1233"/>
      <c r="C373" s="693"/>
      <c r="D373" s="693"/>
      <c r="E373" s="693"/>
      <c r="F373" s="693"/>
      <c r="G373" s="693"/>
      <c r="Q373" s="766" t="s">
        <v>511</v>
      </c>
      <c r="R373" s="764"/>
      <c r="S373" s="768" t="s">
        <v>512</v>
      </c>
      <c r="T373" s="769"/>
    </row>
    <row r="374" spans="1:21" x14ac:dyDescent="0.25">
      <c r="A374" s="693" t="s">
        <v>286</v>
      </c>
      <c r="B374" s="1233"/>
      <c r="C374" s="687" t="s">
        <v>287</v>
      </c>
      <c r="K374" s="460">
        <f>'Hoja Llave'!O52</f>
        <v>134024283.84217088</v>
      </c>
      <c r="M374" s="678"/>
      <c r="Q374" s="217">
        <f>926007.05+328045.25</f>
        <v>1254052.3</v>
      </c>
      <c r="R374" s="767"/>
      <c r="S374" s="770">
        <f>AVERAGE(Q374:Q374)</f>
        <v>1254052.3</v>
      </c>
      <c r="T374" s="771">
        <f>+[1]Facturasold!AH2</f>
        <v>1648461.425</v>
      </c>
      <c r="U374" s="205">
        <f>+T374/S374-1</f>
        <v>0.31450771630497387</v>
      </c>
    </row>
    <row r="375" spans="1:21" x14ac:dyDescent="0.25">
      <c r="A375" s="693"/>
      <c r="B375" s="1233"/>
      <c r="C375" s="687"/>
      <c r="K375" s="430"/>
      <c r="Q375" s="217"/>
      <c r="R375" s="767"/>
      <c r="S375" s="772"/>
      <c r="T375" s="665"/>
      <c r="U375" s="205"/>
    </row>
    <row r="376" spans="1:21" x14ac:dyDescent="0.25">
      <c r="A376" s="693" t="s">
        <v>241</v>
      </c>
      <c r="B376" s="1233"/>
      <c r="C376" s="687" t="s">
        <v>288</v>
      </c>
      <c r="K376" s="460">
        <f>'Hoja Llave'!O53</f>
        <v>210270345.93666664</v>
      </c>
      <c r="M376" s="675"/>
      <c r="Q376" s="773">
        <f>1743022.62+966117.65</f>
        <v>2709140.27</v>
      </c>
      <c r="R376" s="767"/>
      <c r="S376" s="770">
        <f>AVERAGE(Q376:Q376)</f>
        <v>2709140.27</v>
      </c>
      <c r="T376" s="771">
        <f>+[1]Facturasold!AH3</f>
        <v>2525740.7250000001</v>
      </c>
      <c r="U376" s="205">
        <f>+T376/S376-1</f>
        <v>-6.769658516057564E-2</v>
      </c>
    </row>
    <row r="377" spans="1:21" x14ac:dyDescent="0.25">
      <c r="A377" s="693"/>
      <c r="B377" s="1233"/>
      <c r="C377" s="687"/>
      <c r="K377" s="430"/>
      <c r="Q377" s="217"/>
      <c r="R377" s="767"/>
      <c r="S377" s="772"/>
      <c r="T377" s="665"/>
      <c r="U377" s="205"/>
    </row>
    <row r="378" spans="1:21" x14ac:dyDescent="0.25">
      <c r="A378" s="693" t="s">
        <v>242</v>
      </c>
      <c r="B378" s="1233"/>
      <c r="C378" s="687" t="s">
        <v>295</v>
      </c>
      <c r="K378" s="460">
        <f>'Hoja Llave'!O54</f>
        <v>244761725.02041695</v>
      </c>
      <c r="M378" s="675"/>
      <c r="Q378" s="218">
        <v>4242126.7</v>
      </c>
      <c r="R378" s="767"/>
      <c r="S378" s="774">
        <f>AVERAGE(Q378:Q378)</f>
        <v>4242126.7</v>
      </c>
      <c r="T378" s="771">
        <f>+[1]Facturasold!AH4</f>
        <v>4242126.7</v>
      </c>
      <c r="U378" s="205">
        <f>+T378/S378-1</f>
        <v>0</v>
      </c>
    </row>
    <row r="379" spans="1:21" x14ac:dyDescent="0.25">
      <c r="A379" s="693"/>
      <c r="B379" s="1233"/>
      <c r="C379" s="687"/>
      <c r="R379" s="716"/>
    </row>
    <row r="380" spans="1:21" x14ac:dyDescent="0.25">
      <c r="A380" s="693" t="s">
        <v>296</v>
      </c>
      <c r="B380" s="1233"/>
      <c r="C380" s="1436" t="s">
        <v>297</v>
      </c>
      <c r="D380" s="1436"/>
      <c r="E380" s="665" t="s">
        <v>4</v>
      </c>
      <c r="F380" s="1436" t="str">
        <f>+ROUND(K334,4)&amp;" + "&amp;ROUND(K356,4)</f>
        <v>62,5345 + 102,0013</v>
      </c>
      <c r="G380" s="1436"/>
      <c r="H380" s="1436"/>
      <c r="I380" s="1436"/>
      <c r="J380" s="665" t="s">
        <v>4</v>
      </c>
      <c r="K380" s="100"/>
      <c r="L380" s="665"/>
      <c r="M380" s="665"/>
      <c r="N380" s="100">
        <f>+K356+K334</f>
        <v>164.53577704735693</v>
      </c>
    </row>
    <row r="381" spans="1:21" x14ac:dyDescent="0.25">
      <c r="A381" s="693"/>
      <c r="B381" s="1233"/>
      <c r="C381" s="687"/>
    </row>
    <row r="382" spans="1:21" x14ac:dyDescent="0.25">
      <c r="A382" s="693"/>
      <c r="B382" s="1233"/>
      <c r="C382" s="687"/>
    </row>
    <row r="383" spans="1:21" s="665" customFormat="1" ht="17.399999999999999" x14ac:dyDescent="0.25">
      <c r="A383" s="666" t="s">
        <v>85</v>
      </c>
      <c r="B383" s="667"/>
      <c r="C383" s="667" t="s">
        <v>86</v>
      </c>
      <c r="D383" s="667"/>
      <c r="E383" s="667"/>
      <c r="F383" s="667"/>
      <c r="G383" s="668" t="s">
        <v>87</v>
      </c>
      <c r="H383" s="667"/>
      <c r="I383" s="667"/>
      <c r="J383" s="667"/>
      <c r="K383" s="428"/>
      <c r="L383" s="667"/>
      <c r="M383" s="667"/>
      <c r="N383" s="435">
        <f>+N418</f>
        <v>74.041099671310633</v>
      </c>
      <c r="O383" s="740"/>
      <c r="R383" s="314"/>
    </row>
    <row r="384" spans="1:21" x14ac:dyDescent="0.25">
      <c r="O384" s="685"/>
      <c r="R384" s="665"/>
    </row>
    <row r="385" spans="1:18" s="665" customFormat="1" x14ac:dyDescent="0.25">
      <c r="A385" s="1436" t="s">
        <v>298</v>
      </c>
      <c r="B385" s="1233"/>
      <c r="C385" s="1433" t="s">
        <v>299</v>
      </c>
      <c r="D385" s="1433"/>
      <c r="E385" s="1436" t="s">
        <v>4</v>
      </c>
      <c r="F385" s="1433" t="str">
        <f>+K390&amp;" . "&amp;ROUND(K392,4)&amp;" . "&amp;"("&amp;"1"&amp;" - "&amp;K396&amp;" . "&amp;K398&amp;")"&amp;" . "&amp;ROUND(K347,4)</f>
        <v>0,1 . 0,4344 . (1 - 8 . 0,08) . 156898102,4705</v>
      </c>
      <c r="G385" s="1433"/>
      <c r="H385" s="1433"/>
      <c r="I385" s="1433"/>
      <c r="J385" s="1436" t="s">
        <v>4</v>
      </c>
      <c r="K385" s="100">
        <f>+((K390*K392)*(1-K396*K398)*K347)/K394</f>
        <v>28.140505604196932</v>
      </c>
      <c r="O385" s="693"/>
      <c r="R385" s="314"/>
    </row>
    <row r="386" spans="1:18" s="665" customFormat="1" x14ac:dyDescent="0.25">
      <c r="A386" s="1436"/>
      <c r="B386" s="1233"/>
      <c r="C386" s="1436" t="s">
        <v>50</v>
      </c>
      <c r="D386" s="1436"/>
      <c r="E386" s="1436"/>
      <c r="F386" s="1451">
        <f>+K394</f>
        <v>87192.295695960551</v>
      </c>
      <c r="G386" s="1451"/>
      <c r="H386" s="1451"/>
      <c r="I386" s="1451"/>
      <c r="J386" s="1436"/>
      <c r="K386" s="100"/>
      <c r="N386" s="100"/>
      <c r="O386" s="693"/>
    </row>
    <row r="387" spans="1:18" x14ac:dyDescent="0.25">
      <c r="O387" s="685"/>
      <c r="R387" s="665"/>
    </row>
    <row r="388" spans="1:18" x14ac:dyDescent="0.25">
      <c r="A388" s="687" t="s">
        <v>5</v>
      </c>
      <c r="B388" s="687"/>
      <c r="O388" s="685"/>
    </row>
    <row r="389" spans="1:18" x14ac:dyDescent="0.25">
      <c r="K389" s="420"/>
      <c r="O389" s="685"/>
    </row>
    <row r="390" spans="1:18" x14ac:dyDescent="0.25">
      <c r="A390" s="693" t="s">
        <v>88</v>
      </c>
      <c r="B390" s="1233"/>
      <c r="C390" s="687" t="s">
        <v>300</v>
      </c>
      <c r="K390" s="460">
        <f>+'[1]Hoja Llave'!O21</f>
        <v>0.1</v>
      </c>
      <c r="M390" s="675">
        <f>+K390-'[1]Calculo FETAP ASETAC'!J386</f>
        <v>0</v>
      </c>
      <c r="O390" s="685"/>
    </row>
    <row r="391" spans="1:18" x14ac:dyDescent="0.25">
      <c r="A391" s="693"/>
      <c r="B391" s="1233"/>
      <c r="O391" s="685"/>
    </row>
    <row r="392" spans="1:18" x14ac:dyDescent="0.25">
      <c r="A392" s="693" t="s">
        <v>193</v>
      </c>
      <c r="B392" s="1233"/>
      <c r="C392" s="687" t="s">
        <v>194</v>
      </c>
      <c r="K392" s="460">
        <f>'Hoja Llave'!O41</f>
        <v>0.43440000000000001</v>
      </c>
      <c r="M392" s="675">
        <f>+K392-'[1]Calculo FETAP ASETAC'!J388</f>
        <v>1.3719983407664726E-2</v>
      </c>
      <c r="O392" s="685"/>
    </row>
    <row r="393" spans="1:18" x14ac:dyDescent="0.25">
      <c r="A393" s="693"/>
      <c r="B393" s="1233"/>
      <c r="O393" s="685"/>
    </row>
    <row r="394" spans="1:18" x14ac:dyDescent="0.25">
      <c r="A394" s="693" t="s">
        <v>50</v>
      </c>
      <c r="B394" s="1233"/>
      <c r="C394" s="687" t="s">
        <v>235</v>
      </c>
      <c r="K394" s="717">
        <f>'Hoja Llave'!O33</f>
        <v>87192.295695960551</v>
      </c>
      <c r="L394" s="673"/>
      <c r="M394" s="678">
        <f>+K394-'[1]Calculo FETAP ASETAC'!J390</f>
        <v>-12707.704304039449</v>
      </c>
      <c r="N394" s="421" t="s">
        <v>707</v>
      </c>
      <c r="O394" s="685"/>
    </row>
    <row r="395" spans="1:18" x14ac:dyDescent="0.25">
      <c r="A395" s="693"/>
      <c r="B395" s="1233"/>
      <c r="O395" s="685"/>
    </row>
    <row r="396" spans="1:18" x14ac:dyDescent="0.25">
      <c r="A396" s="693" t="s">
        <v>301</v>
      </c>
      <c r="B396" s="1233"/>
      <c r="C396" s="687" t="s">
        <v>302</v>
      </c>
      <c r="K396" s="460">
        <f>+'[1]Hoja Llave'!O55</f>
        <v>8</v>
      </c>
      <c r="M396" s="675">
        <f>+K396-'[1]Calculo FETAP ASETAC'!J392</f>
        <v>0</v>
      </c>
      <c r="O396" s="685"/>
    </row>
    <row r="397" spans="1:18" x14ac:dyDescent="0.25">
      <c r="A397" s="693"/>
      <c r="B397" s="1233"/>
      <c r="O397" s="685"/>
    </row>
    <row r="398" spans="1:18" x14ac:dyDescent="0.25">
      <c r="A398" s="693" t="s">
        <v>83</v>
      </c>
      <c r="B398" s="1233"/>
      <c r="C398" s="687" t="s">
        <v>285</v>
      </c>
      <c r="K398" s="460">
        <f>+'[1]Hoja Llave'!O20</f>
        <v>0.08</v>
      </c>
      <c r="M398" s="675">
        <f>+K398-'[1]Calculo FETAP ASETAC'!J394</f>
        <v>0</v>
      </c>
      <c r="O398" s="685"/>
    </row>
    <row r="399" spans="1:18" x14ac:dyDescent="0.25">
      <c r="A399" s="693" t="s">
        <v>283</v>
      </c>
      <c r="B399" s="1233"/>
      <c r="C399" s="687" t="s">
        <v>282</v>
      </c>
      <c r="K399" s="97">
        <f>K347</f>
        <v>156898102.4705196</v>
      </c>
      <c r="O399" s="685"/>
    </row>
    <row r="400" spans="1:18" x14ac:dyDescent="0.25">
      <c r="A400" s="693"/>
      <c r="B400" s="1233"/>
      <c r="O400" s="685"/>
    </row>
    <row r="401" spans="1:15" x14ac:dyDescent="0.25">
      <c r="A401" s="1436" t="s">
        <v>304</v>
      </c>
      <c r="B401" s="1233"/>
      <c r="C401" s="1433" t="s">
        <v>305</v>
      </c>
      <c r="D401" s="1433"/>
      <c r="E401" s="1436" t="s">
        <v>4</v>
      </c>
      <c r="F401" s="1433" t="str">
        <f>+K406&amp;" . "&amp;ROUND(K408,4)&amp;" . "&amp;"("&amp;"1"&amp;" - "&amp;K412&amp;" . "&amp;K414&amp;")"&amp;" . "&amp;ROUND(K416,4)</f>
        <v>0,1 . 0,5656 . (1 - 8 . 0,08) . 212629988,256</v>
      </c>
      <c r="G401" s="1433"/>
      <c r="H401" s="1433"/>
      <c r="I401" s="1433"/>
      <c r="J401" s="1436" t="s">
        <v>4</v>
      </c>
      <c r="K401" s="100">
        <f>+((K406*K408)*(1-K412*K414)*K416)/K410</f>
        <v>45.900594067113694</v>
      </c>
      <c r="O401" s="685"/>
    </row>
    <row r="402" spans="1:15" x14ac:dyDescent="0.25">
      <c r="A402" s="1436"/>
      <c r="B402" s="1233"/>
      <c r="C402" s="1436" t="s">
        <v>234</v>
      </c>
      <c r="D402" s="1436"/>
      <c r="E402" s="1436"/>
      <c r="F402" s="1451">
        <f>+K410</f>
        <v>94323.109686616328</v>
      </c>
      <c r="G402" s="1451"/>
      <c r="H402" s="1451"/>
      <c r="I402" s="1451"/>
      <c r="J402" s="1436"/>
      <c r="K402" s="100"/>
      <c r="O402" s="685"/>
    </row>
    <row r="403" spans="1:15" x14ac:dyDescent="0.25">
      <c r="O403" s="685"/>
    </row>
    <row r="404" spans="1:15" x14ac:dyDescent="0.25">
      <c r="A404" s="687" t="s">
        <v>5</v>
      </c>
      <c r="B404" s="687"/>
      <c r="O404" s="685"/>
    </row>
    <row r="405" spans="1:15" x14ac:dyDescent="0.25">
      <c r="O405" s="685"/>
    </row>
    <row r="406" spans="1:15" x14ac:dyDescent="0.25">
      <c r="A406" s="693" t="s">
        <v>88</v>
      </c>
      <c r="B406" s="1233"/>
      <c r="C406" s="687" t="s">
        <v>300</v>
      </c>
      <c r="K406" s="460">
        <f>+'[1]Hoja Llave'!O21</f>
        <v>0.1</v>
      </c>
      <c r="M406" s="675">
        <f>+K406-'[1]Calculo FETAP ASETAC'!J402</f>
        <v>0</v>
      </c>
      <c r="O406" s="685"/>
    </row>
    <row r="407" spans="1:15" x14ac:dyDescent="0.25">
      <c r="A407" s="693"/>
      <c r="B407" s="1233"/>
      <c r="O407" s="685"/>
    </row>
    <row r="408" spans="1:15" x14ac:dyDescent="0.25">
      <c r="A408" s="693" t="s">
        <v>203</v>
      </c>
      <c r="B408" s="1233"/>
      <c r="C408" s="687" t="s">
        <v>206</v>
      </c>
      <c r="K408" s="460">
        <f>'Hoja Llave'!O42</f>
        <v>0.56559999999999999</v>
      </c>
      <c r="M408" s="675">
        <f>+K408-'[1]Calculo FETAP ASETAC'!J404</f>
        <v>-1.3719983407664782E-2</v>
      </c>
      <c r="O408" s="685"/>
    </row>
    <row r="409" spans="1:15" x14ac:dyDescent="0.25">
      <c r="A409" s="693"/>
      <c r="B409" s="1233"/>
      <c r="O409" s="685"/>
    </row>
    <row r="410" spans="1:15" x14ac:dyDescent="0.25">
      <c r="A410" s="693" t="s">
        <v>234</v>
      </c>
      <c r="B410" s="1233"/>
      <c r="C410" s="687" t="s">
        <v>236</v>
      </c>
      <c r="K410" s="717">
        <f>'Hoja Llave'!O34</f>
        <v>94323.109686616328</v>
      </c>
      <c r="L410" s="673"/>
      <c r="M410" s="678">
        <f>+K410-'[1]Calculo FETAP ASETAC'!J406</f>
        <v>-55040.890313383672</v>
      </c>
      <c r="N410" s="421" t="s">
        <v>707</v>
      </c>
      <c r="O410" s="685"/>
    </row>
    <row r="411" spans="1:15" x14ac:dyDescent="0.25">
      <c r="A411" s="693"/>
      <c r="B411" s="1233"/>
      <c r="K411" s="430"/>
      <c r="L411" s="671"/>
      <c r="O411" s="685"/>
    </row>
    <row r="412" spans="1:15" x14ac:dyDescent="0.25">
      <c r="A412" s="693" t="s">
        <v>301</v>
      </c>
      <c r="B412" s="1233"/>
      <c r="C412" s="687" t="s">
        <v>302</v>
      </c>
      <c r="K412" s="460">
        <f>+'[1]Hoja Llave'!O55</f>
        <v>8</v>
      </c>
      <c r="L412" s="671"/>
      <c r="M412" s="675">
        <f>+K412-'[1]Calculo FETAP ASETAC'!J408</f>
        <v>0</v>
      </c>
      <c r="O412" s="685"/>
    </row>
    <row r="413" spans="1:15" x14ac:dyDescent="0.25">
      <c r="A413" s="693"/>
      <c r="B413" s="1233"/>
      <c r="K413" s="430"/>
      <c r="L413" s="671"/>
      <c r="O413" s="685"/>
    </row>
    <row r="414" spans="1:15" x14ac:dyDescent="0.25">
      <c r="A414" s="693" t="s">
        <v>83</v>
      </c>
      <c r="B414" s="1233"/>
      <c r="C414" s="687" t="s">
        <v>285</v>
      </c>
      <c r="K414" s="460">
        <f>+'[1]Hoja Llave'!O20</f>
        <v>0.08</v>
      </c>
      <c r="M414" s="675">
        <f>+K414-'[1]Calculo FETAP ASETAC'!J410</f>
        <v>0</v>
      </c>
      <c r="O414" s="685"/>
    </row>
    <row r="415" spans="1:15" x14ac:dyDescent="0.25">
      <c r="A415" s="693"/>
      <c r="B415" s="1233"/>
      <c r="O415" s="685"/>
    </row>
    <row r="416" spans="1:15" x14ac:dyDescent="0.25">
      <c r="A416" s="693" t="s">
        <v>306</v>
      </c>
      <c r="B416" s="1233"/>
      <c r="C416" s="687" t="s">
        <v>292</v>
      </c>
      <c r="K416" s="460">
        <f>+K370</f>
        <v>212629988.25599241</v>
      </c>
      <c r="M416" s="678">
        <f>+K416-'[1]Calculo FETAP ASETAC'!J412</f>
        <v>206365344.95120242</v>
      </c>
      <c r="O416" s="685"/>
    </row>
    <row r="417" spans="1:18" x14ac:dyDescent="0.25">
      <c r="A417" s="693"/>
      <c r="B417" s="1233"/>
      <c r="C417" s="687"/>
      <c r="O417" s="685"/>
    </row>
    <row r="418" spans="1:18" s="665" customFormat="1" x14ac:dyDescent="0.25">
      <c r="A418" s="693" t="s">
        <v>307</v>
      </c>
      <c r="B418" s="1233"/>
      <c r="C418" s="1436" t="s">
        <v>308</v>
      </c>
      <c r="D418" s="1436"/>
      <c r="E418" s="1436"/>
      <c r="F418" s="665" t="s">
        <v>4</v>
      </c>
      <c r="G418" s="1448" t="str">
        <f>+ROUND(K385,4)&amp;" + "&amp;ROUND(K401,4)</f>
        <v>28,1405 + 45,9006</v>
      </c>
      <c r="H418" s="1436"/>
      <c r="I418" s="1436"/>
      <c r="J418" s="1436"/>
      <c r="K418" s="100" t="s">
        <v>4</v>
      </c>
      <c r="N418" s="100">
        <f>+K385+K401</f>
        <v>74.041099671310633</v>
      </c>
      <c r="O418" s="693"/>
      <c r="R418" s="314"/>
    </row>
    <row r="419" spans="1:18" x14ac:dyDescent="0.25">
      <c r="A419" s="693"/>
      <c r="B419" s="1233"/>
      <c r="O419" s="685"/>
      <c r="R419" s="665"/>
    </row>
    <row r="420" spans="1:18" x14ac:dyDescent="0.25">
      <c r="O420" s="685"/>
    </row>
    <row r="421" spans="1:18" s="665" customFormat="1" ht="17.399999999999999" x14ac:dyDescent="0.25">
      <c r="A421" s="666" t="s">
        <v>89</v>
      </c>
      <c r="B421" s="667"/>
      <c r="C421" s="667" t="s">
        <v>90</v>
      </c>
      <c r="D421" s="667"/>
      <c r="E421" s="667"/>
      <c r="F421" s="667"/>
      <c r="G421" s="668" t="s">
        <v>106</v>
      </c>
      <c r="H421" s="667"/>
      <c r="I421" s="667"/>
      <c r="J421" s="667"/>
      <c r="K421" s="428"/>
      <c r="L421" s="667"/>
      <c r="M421" s="667"/>
      <c r="N421" s="435">
        <f>+N425</f>
        <v>164.53577704735693</v>
      </c>
      <c r="O421" s="669" t="s">
        <v>462</v>
      </c>
      <c r="R421" s="314"/>
    </row>
    <row r="422" spans="1:18" x14ac:dyDescent="0.25">
      <c r="O422" s="685"/>
      <c r="R422" s="665"/>
    </row>
    <row r="423" spans="1:18" x14ac:dyDescent="0.25">
      <c r="A423" s="687" t="s">
        <v>91</v>
      </c>
      <c r="B423" s="687"/>
      <c r="O423" s="685"/>
    </row>
    <row r="424" spans="1:18" x14ac:dyDescent="0.25">
      <c r="O424" s="685"/>
    </row>
    <row r="425" spans="1:18" s="665" customFormat="1" x14ac:dyDescent="0.25">
      <c r="A425" s="693" t="s">
        <v>92</v>
      </c>
      <c r="B425" s="1233"/>
      <c r="C425" s="1436" t="s">
        <v>93</v>
      </c>
      <c r="D425" s="1436"/>
      <c r="E425" s="693" t="s">
        <v>4</v>
      </c>
      <c r="F425" s="1449">
        <f>+N380</f>
        <v>164.53577704735693</v>
      </c>
      <c r="G425" s="1449"/>
      <c r="H425" s="1449"/>
      <c r="I425" s="1449"/>
      <c r="J425" s="693" t="s">
        <v>4</v>
      </c>
      <c r="K425" s="100"/>
      <c r="N425" s="100">
        <f>+N380</f>
        <v>164.53577704735693</v>
      </c>
      <c r="O425" s="693"/>
      <c r="R425" s="314"/>
    </row>
    <row r="426" spans="1:18" x14ac:dyDescent="0.25">
      <c r="O426" s="685"/>
      <c r="R426" s="665"/>
    </row>
    <row r="427" spans="1:18" x14ac:dyDescent="0.25">
      <c r="O427" s="685"/>
    </row>
    <row r="428" spans="1:18" s="665" customFormat="1" ht="17.399999999999999" x14ac:dyDescent="0.25">
      <c r="A428" s="666" t="s">
        <v>94</v>
      </c>
      <c r="B428" s="667"/>
      <c r="C428" s="667" t="s">
        <v>95</v>
      </c>
      <c r="D428" s="667"/>
      <c r="E428" s="667"/>
      <c r="F428" s="667"/>
      <c r="G428" s="668" t="s">
        <v>107</v>
      </c>
      <c r="H428" s="667"/>
      <c r="I428" s="667"/>
      <c r="J428" s="667"/>
      <c r="K428" s="428"/>
      <c r="L428" s="667"/>
      <c r="M428" s="667"/>
      <c r="N428" s="435">
        <f>+N433</f>
        <v>16.040803626442347</v>
      </c>
      <c r="O428" s="740"/>
      <c r="R428" s="314"/>
    </row>
    <row r="429" spans="1:18" x14ac:dyDescent="0.25">
      <c r="A429" s="665" t="s">
        <v>96</v>
      </c>
      <c r="R429" s="665"/>
    </row>
    <row r="430" spans="1:18" ht="12.75" customHeight="1" x14ac:dyDescent="0.25">
      <c r="A430" s="1450" t="s">
        <v>97</v>
      </c>
      <c r="B430" s="1450"/>
      <c r="C430" s="1450"/>
      <c r="D430" s="1450"/>
      <c r="E430" s="1450"/>
      <c r="F430" s="1450"/>
      <c r="G430" s="1450"/>
      <c r="H430" s="1450"/>
      <c r="I430" s="1450"/>
      <c r="J430" s="1450"/>
      <c r="K430" s="1450"/>
      <c r="L430" s="1450"/>
      <c r="M430" s="1450"/>
      <c r="N430" s="1450"/>
    </row>
    <row r="431" spans="1:18" x14ac:dyDescent="0.25">
      <c r="A431" s="1450"/>
      <c r="B431" s="1450"/>
      <c r="C431" s="1450"/>
      <c r="D431" s="1450"/>
      <c r="E431" s="1450"/>
      <c r="F431" s="1450"/>
      <c r="G431" s="1450"/>
      <c r="H431" s="1450"/>
      <c r="I431" s="1450"/>
      <c r="J431" s="1450"/>
      <c r="K431" s="1450"/>
      <c r="L431" s="1450"/>
      <c r="M431" s="1450"/>
      <c r="N431" s="1450"/>
    </row>
    <row r="433" spans="1:18" s="665" customFormat="1" x14ac:dyDescent="0.25">
      <c r="A433" s="1436" t="s">
        <v>98</v>
      </c>
      <c r="B433" s="1233"/>
      <c r="C433" s="1433" t="s">
        <v>99</v>
      </c>
      <c r="D433" s="1433"/>
      <c r="E433" s="1436" t="s">
        <v>4</v>
      </c>
      <c r="F433" s="1433" t="str">
        <f>1.3&amp;" . "&amp;ROUND(K438,4)</f>
        <v>1,3 . 93803,21</v>
      </c>
      <c r="G433" s="1433"/>
      <c r="H433" s="1433"/>
      <c r="I433" s="1433"/>
      <c r="J433" s="1436" t="s">
        <v>4</v>
      </c>
      <c r="K433" s="431"/>
      <c r="L433" s="670"/>
      <c r="M433" s="670"/>
      <c r="N433" s="431">
        <f>(1.3*K438)/((K442*K440)+(K446*K444))</f>
        <v>16.040803626442347</v>
      </c>
      <c r="R433" s="314"/>
    </row>
    <row r="434" spans="1:18" s="665" customFormat="1" x14ac:dyDescent="0.25">
      <c r="A434" s="1436"/>
      <c r="B434" s="1233"/>
      <c r="C434" s="1436" t="s">
        <v>337</v>
      </c>
      <c r="D434" s="1436"/>
      <c r="E434" s="1436"/>
      <c r="F434" s="1446" t="str">
        <f>ROUND(+K446,4)&amp;" . "&amp;ROUND(K440,0)&amp;" + "&amp;ROUND(K442,4)&amp;" . "&amp;ROUND(K444,0)</f>
        <v>0,5656 . 7266 + 0,4344 . 7860</v>
      </c>
      <c r="G434" s="1446"/>
      <c r="H434" s="1446"/>
      <c r="I434" s="1446"/>
      <c r="J434" s="1436"/>
      <c r="K434" s="431"/>
      <c r="L434" s="670"/>
      <c r="M434" s="670"/>
      <c r="N434" s="431"/>
    </row>
    <row r="435" spans="1:18" x14ac:dyDescent="0.25">
      <c r="K435" s="430"/>
      <c r="L435" s="671"/>
      <c r="M435" s="671"/>
      <c r="N435" s="430"/>
      <c r="R435" s="665"/>
    </row>
    <row r="436" spans="1:18" x14ac:dyDescent="0.25">
      <c r="A436" s="687" t="s">
        <v>5</v>
      </c>
      <c r="B436" s="687"/>
      <c r="K436" s="430"/>
      <c r="L436" s="671"/>
      <c r="M436" s="671"/>
      <c r="N436" s="430"/>
    </row>
    <row r="437" spans="1:18" x14ac:dyDescent="0.25">
      <c r="K437" s="430"/>
      <c r="L437" s="671"/>
      <c r="M437" s="671"/>
      <c r="N437" s="430"/>
    </row>
    <row r="438" spans="1:18" x14ac:dyDescent="0.25">
      <c r="A438" s="693" t="s">
        <v>100</v>
      </c>
      <c r="B438" s="1233"/>
      <c r="C438" s="687" t="s">
        <v>309</v>
      </c>
      <c r="K438" s="448">
        <f>'Hoja Llave'!O22</f>
        <v>93803.21</v>
      </c>
      <c r="L438" s="671"/>
      <c r="M438" s="675"/>
      <c r="N438" s="430"/>
    </row>
    <row r="439" spans="1:18" x14ac:dyDescent="0.25">
      <c r="A439" s="693"/>
      <c r="B439" s="1233"/>
      <c r="K439" s="430"/>
      <c r="L439" s="671"/>
      <c r="M439" s="671"/>
      <c r="N439" s="430"/>
    </row>
    <row r="440" spans="1:18" x14ac:dyDescent="0.25">
      <c r="A440" s="693" t="s">
        <v>329</v>
      </c>
      <c r="B440" s="1233"/>
      <c r="C440" s="687" t="s">
        <v>310</v>
      </c>
      <c r="J440" s="687" t="s">
        <v>513</v>
      </c>
      <c r="K440" s="775">
        <f>'Hoja Llave'!O30</f>
        <v>7266.0246413300456</v>
      </c>
      <c r="L440" s="673"/>
      <c r="M440" s="678"/>
      <c r="N440" s="421"/>
    </row>
    <row r="441" spans="1:18" x14ac:dyDescent="0.25">
      <c r="A441" s="693"/>
      <c r="B441" s="1233"/>
      <c r="K441" s="430"/>
      <c r="L441" s="671"/>
      <c r="M441" s="671"/>
      <c r="N441" s="430"/>
    </row>
    <row r="442" spans="1:18" x14ac:dyDescent="0.25">
      <c r="A442" s="693" t="s">
        <v>193</v>
      </c>
      <c r="B442" s="1233"/>
      <c r="C442" s="687" t="s">
        <v>194</v>
      </c>
      <c r="K442" s="460">
        <f>'Hoja Llave'!O41</f>
        <v>0.43440000000000001</v>
      </c>
      <c r="L442" s="671"/>
      <c r="M442" s="675"/>
      <c r="N442" s="430"/>
    </row>
    <row r="443" spans="1:18" x14ac:dyDescent="0.25">
      <c r="A443" s="693"/>
      <c r="B443" s="1233"/>
      <c r="K443" s="430"/>
      <c r="L443" s="671"/>
      <c r="M443" s="671"/>
      <c r="N443" s="430"/>
    </row>
    <row r="444" spans="1:18" x14ac:dyDescent="0.25">
      <c r="A444" s="693" t="s">
        <v>234</v>
      </c>
      <c r="B444" s="1233"/>
      <c r="C444" s="687" t="s">
        <v>311</v>
      </c>
      <c r="J444" s="687" t="s">
        <v>514</v>
      </c>
      <c r="K444" s="775">
        <f>'Hoja Llave'!O46</f>
        <v>7860.2591405513604</v>
      </c>
      <c r="L444" s="673"/>
      <c r="M444" s="678"/>
      <c r="N444" s="421"/>
    </row>
    <row r="445" spans="1:18" x14ac:dyDescent="0.25">
      <c r="A445" s="693"/>
      <c r="B445" s="1233"/>
      <c r="K445" s="430"/>
      <c r="L445" s="671"/>
      <c r="M445" s="671"/>
      <c r="N445" s="430"/>
    </row>
    <row r="446" spans="1:18" x14ac:dyDescent="0.25">
      <c r="A446" s="693" t="s">
        <v>203</v>
      </c>
      <c r="B446" s="1233"/>
      <c r="C446" s="687" t="s">
        <v>206</v>
      </c>
      <c r="K446" s="460">
        <f>'Hoja Llave'!O42</f>
        <v>0.56559999999999999</v>
      </c>
      <c r="L446" s="671"/>
      <c r="M446" s="675">
        <f>+K446-'[1]Calculo FETAP ASETAC'!J442</f>
        <v>0.14491998340766471</v>
      </c>
      <c r="N446" s="430"/>
    </row>
    <row r="449" spans="1:18" s="665" customFormat="1" x14ac:dyDescent="0.25">
      <c r="A449" s="661" t="s">
        <v>101</v>
      </c>
      <c r="B449" s="662"/>
      <c r="C449" s="662"/>
      <c r="D449" s="662"/>
      <c r="E449" s="662"/>
      <c r="F449" s="662"/>
      <c r="G449" s="663"/>
      <c r="H449" s="662"/>
      <c r="I449" s="662"/>
      <c r="J449" s="662"/>
      <c r="K449" s="101"/>
      <c r="L449" s="662"/>
      <c r="M449" s="662"/>
      <c r="N449" s="445">
        <f>+N451</f>
        <v>419.15345739246686</v>
      </c>
      <c r="R449" s="314"/>
    </row>
    <row r="450" spans="1:18" x14ac:dyDescent="0.25">
      <c r="R450" s="665"/>
    </row>
    <row r="451" spans="1:18" s="665" customFormat="1" x14ac:dyDescent="0.25">
      <c r="A451" s="729" t="s">
        <v>102</v>
      </c>
      <c r="B451" s="729"/>
      <c r="C451" s="729" t="s">
        <v>103</v>
      </c>
      <c r="D451" s="729"/>
      <c r="E451" s="729" t="s">
        <v>4</v>
      </c>
      <c r="F451" s="1441" t="str">
        <f>+ROUND(N380,4)&amp;" + "&amp;ROUND(N418,4)&amp;" + "&amp;ROUND(N425,4)&amp;" + "&amp;ROUND(N433,4)</f>
        <v>164,5358 + 74,0411 + 164,5358 + 16,0408</v>
      </c>
      <c r="G451" s="1441"/>
      <c r="H451" s="1441"/>
      <c r="I451" s="1441"/>
      <c r="J451" s="1441" t="s">
        <v>4</v>
      </c>
      <c r="K451" s="439"/>
      <c r="L451" s="729"/>
      <c r="M451" s="729"/>
      <c r="N451" s="440">
        <f>+N433+N425+N418+N380</f>
        <v>419.15345739246686</v>
      </c>
      <c r="O451" s="730"/>
      <c r="R451" s="314"/>
    </row>
    <row r="452" spans="1:18" x14ac:dyDescent="0.25">
      <c r="O452" s="685"/>
      <c r="R452" s="665"/>
    </row>
    <row r="453" spans="1:18" x14ac:dyDescent="0.25">
      <c r="O453" s="685"/>
    </row>
    <row r="454" spans="1:18" s="665" customFormat="1" x14ac:dyDescent="0.25">
      <c r="A454" s="661" t="s">
        <v>104</v>
      </c>
      <c r="B454" s="662"/>
      <c r="C454" s="662" t="s">
        <v>105</v>
      </c>
      <c r="D454" s="662"/>
      <c r="E454" s="662"/>
      <c r="F454" s="662"/>
      <c r="G454" s="663" t="s">
        <v>108</v>
      </c>
      <c r="H454" s="662"/>
      <c r="I454" s="662"/>
      <c r="J454" s="662"/>
      <c r="K454" s="101"/>
      <c r="L454" s="662"/>
      <c r="M454" s="662"/>
      <c r="N454" s="438"/>
      <c r="O454" s="693"/>
      <c r="R454" s="314"/>
    </row>
    <row r="455" spans="1:18" x14ac:dyDescent="0.25">
      <c r="O455" s="685"/>
      <c r="R455" s="665"/>
    </row>
    <row r="456" spans="1:18" x14ac:dyDescent="0.25">
      <c r="O456" s="685"/>
    </row>
    <row r="457" spans="1:18" s="665" customFormat="1" x14ac:dyDescent="0.25">
      <c r="A457" s="661" t="s">
        <v>109</v>
      </c>
      <c r="B457" s="662"/>
      <c r="C457" s="662" t="s">
        <v>110</v>
      </c>
      <c r="D457" s="662"/>
      <c r="E457" s="662"/>
      <c r="F457" s="662"/>
      <c r="G457" s="663" t="s">
        <v>111</v>
      </c>
      <c r="H457" s="662"/>
      <c r="I457" s="662"/>
      <c r="J457" s="662"/>
      <c r="K457" s="101"/>
      <c r="L457" s="662"/>
      <c r="M457" s="662"/>
      <c r="N457" s="438"/>
      <c r="O457" s="693"/>
      <c r="R457" s="314"/>
    </row>
    <row r="458" spans="1:18" x14ac:dyDescent="0.25">
      <c r="O458" s="685"/>
      <c r="R458" s="665"/>
    </row>
    <row r="459" spans="1:18" x14ac:dyDescent="0.25">
      <c r="O459" s="685"/>
    </row>
    <row r="460" spans="1:18" s="665" customFormat="1" ht="17.399999999999999" x14ac:dyDescent="0.25">
      <c r="A460" s="666" t="s">
        <v>112</v>
      </c>
      <c r="B460" s="667"/>
      <c r="C460" s="667" t="s">
        <v>113</v>
      </c>
      <c r="D460" s="667"/>
      <c r="E460" s="667"/>
      <c r="F460" s="667"/>
      <c r="G460" s="668" t="s">
        <v>114</v>
      </c>
      <c r="H460" s="667"/>
      <c r="I460" s="667"/>
      <c r="J460" s="667"/>
      <c r="K460" s="428"/>
      <c r="L460" s="667"/>
      <c r="M460" s="667"/>
      <c r="N460" s="449">
        <f>+N502</f>
        <v>3.4933852622563353</v>
      </c>
      <c r="O460" s="740"/>
      <c r="R460" s="314"/>
    </row>
    <row r="461" spans="1:18" x14ac:dyDescent="0.25">
      <c r="R461" s="665"/>
    </row>
    <row r="462" spans="1:18" x14ac:dyDescent="0.25">
      <c r="A462" s="687" t="s">
        <v>115</v>
      </c>
      <c r="B462" s="687"/>
    </row>
    <row r="464" spans="1:18" s="665" customFormat="1" x14ac:dyDescent="0.25">
      <c r="A464" s="693" t="s">
        <v>116</v>
      </c>
      <c r="B464" s="1233"/>
      <c r="C464" s="1436" t="s">
        <v>342</v>
      </c>
      <c r="D464" s="1436"/>
      <c r="E464" s="1436"/>
      <c r="F464" s="1436"/>
      <c r="G464" s="1447" t="str">
        <f>0.02&amp;" . "&amp;ROUND(K480,4)&amp;" . "&amp;"["&amp;"("&amp;ROUND(K472,4)&amp;" - "&amp;K468&amp;")"&amp;"/"&amp;"("&amp;ROUND(K474,0)&amp;" . "&amp;K470&amp;")"&amp;" - "&amp;"0,05"&amp;" . "&amp;"("&amp;K476&amp;" - "&amp;K478&amp;")"&amp;"]"</f>
        <v>0,02 . 0,4344 . [(156898102,4705 - 23534715,3705779)/(87192 . 10) - 0,05 . (8 - 5)]</v>
      </c>
      <c r="H464" s="1447"/>
      <c r="I464" s="1447"/>
      <c r="J464" s="1447"/>
      <c r="K464" s="1447"/>
      <c r="L464" s="665" t="s">
        <v>4</v>
      </c>
      <c r="M464" s="100">
        <f>0.02*K480*(((K472-K468)/(K474*K470))-((0.05*(K476-K478))))</f>
        <v>1.3275540090870774</v>
      </c>
      <c r="N464" s="100"/>
      <c r="R464" s="314"/>
    </row>
    <row r="465" spans="1:18" x14ac:dyDescent="0.25">
      <c r="A465" s="693"/>
      <c r="B465" s="1233"/>
      <c r="R465" s="665"/>
    </row>
    <row r="466" spans="1:18" x14ac:dyDescent="0.25">
      <c r="A466" s="687" t="s">
        <v>5</v>
      </c>
      <c r="B466" s="687"/>
    </row>
    <row r="468" spans="1:18" x14ac:dyDescent="0.25">
      <c r="A468" s="693" t="s">
        <v>183</v>
      </c>
      <c r="B468" s="1233"/>
      <c r="C468" s="687" t="s">
        <v>338</v>
      </c>
      <c r="K468" s="688">
        <f>'Hoja Llave'!O35</f>
        <v>23534715.370577939</v>
      </c>
      <c r="M468" s="678"/>
    </row>
    <row r="469" spans="1:18" x14ac:dyDescent="0.25">
      <c r="A469" s="693"/>
      <c r="B469" s="1233"/>
      <c r="K469" s="430"/>
    </row>
    <row r="470" spans="1:18" x14ac:dyDescent="0.25">
      <c r="A470" s="693" t="s">
        <v>179</v>
      </c>
      <c r="B470" s="1233"/>
      <c r="C470" s="687" t="s">
        <v>312</v>
      </c>
      <c r="K470" s="460">
        <v>10</v>
      </c>
      <c r="M470" s="675"/>
    </row>
    <row r="471" spans="1:18" x14ac:dyDescent="0.25">
      <c r="A471" s="693"/>
      <c r="B471" s="1233"/>
      <c r="K471" s="430"/>
    </row>
    <row r="472" spans="1:18" x14ac:dyDescent="0.25">
      <c r="A472" s="693" t="s">
        <v>303</v>
      </c>
      <c r="B472" s="1233"/>
      <c r="C472" s="687" t="s">
        <v>313</v>
      </c>
      <c r="K472" s="688">
        <f>K347</f>
        <v>156898102.4705196</v>
      </c>
      <c r="M472" s="678"/>
    </row>
    <row r="473" spans="1:18" x14ac:dyDescent="0.25">
      <c r="A473" s="693"/>
      <c r="B473" s="1233"/>
      <c r="K473" s="430"/>
      <c r="M473" s="728"/>
    </row>
    <row r="474" spans="1:18" x14ac:dyDescent="0.25">
      <c r="A474" s="693" t="s">
        <v>329</v>
      </c>
      <c r="B474" s="1233"/>
      <c r="C474" s="687" t="s">
        <v>235</v>
      </c>
      <c r="K474" s="679">
        <f>'Hoja Llave'!O33</f>
        <v>87192.295695960551</v>
      </c>
      <c r="M474" s="678"/>
      <c r="N474" s="421" t="s">
        <v>707</v>
      </c>
    </row>
    <row r="475" spans="1:18" x14ac:dyDescent="0.25">
      <c r="A475" s="693"/>
      <c r="B475" s="1233"/>
      <c r="K475" s="430"/>
    </row>
    <row r="476" spans="1:18" x14ac:dyDescent="0.25">
      <c r="A476" s="693" t="s">
        <v>301</v>
      </c>
      <c r="B476" s="1233"/>
      <c r="C476" s="687" t="s">
        <v>314</v>
      </c>
      <c r="K476" s="460">
        <f>+'[1]Hoja Llave'!O55</f>
        <v>8</v>
      </c>
      <c r="M476" s="675"/>
    </row>
    <row r="477" spans="1:18" x14ac:dyDescent="0.25">
      <c r="A477" s="693"/>
      <c r="B477" s="1233"/>
      <c r="K477" s="430"/>
    </row>
    <row r="478" spans="1:18" x14ac:dyDescent="0.25">
      <c r="A478" s="693" t="s">
        <v>315</v>
      </c>
      <c r="B478" s="1233"/>
      <c r="C478" s="687" t="s">
        <v>316</v>
      </c>
      <c r="K478" s="460">
        <f>+'[1]Hoja Llave'!O58</f>
        <v>5</v>
      </c>
      <c r="M478" s="675"/>
    </row>
    <row r="479" spans="1:18" x14ac:dyDescent="0.25">
      <c r="A479" s="693"/>
      <c r="B479" s="1233"/>
      <c r="K479" s="430"/>
    </row>
    <row r="480" spans="1:18" x14ac:dyDescent="0.25">
      <c r="A480" s="693" t="s">
        <v>193</v>
      </c>
      <c r="B480" s="1233"/>
      <c r="C480" s="687" t="s">
        <v>317</v>
      </c>
      <c r="K480" s="460">
        <f>'Hoja Llave'!O41</f>
        <v>0.43440000000000001</v>
      </c>
      <c r="M480" s="675">
        <f>+K480-'[1]Calculo FETAP ASETAC'!J476</f>
        <v>1.3719983407664726E-2</v>
      </c>
    </row>
    <row r="481" spans="1:18" x14ac:dyDescent="0.25">
      <c r="A481" s="693"/>
      <c r="B481" s="1233"/>
      <c r="C481" s="687"/>
    </row>
    <row r="482" spans="1:18" x14ac:dyDescent="0.25">
      <c r="A482" s="693"/>
      <c r="B482" s="1233"/>
      <c r="C482" s="687"/>
    </row>
    <row r="483" spans="1:18" x14ac:dyDescent="0.25">
      <c r="A483" s="693" t="s">
        <v>318</v>
      </c>
      <c r="B483" s="1233"/>
      <c r="C483" s="1436" t="s">
        <v>341</v>
      </c>
      <c r="D483" s="1436"/>
      <c r="E483" s="1436"/>
      <c r="F483" s="1436"/>
      <c r="G483" s="1436" t="str">
        <f>0.02&amp;" . "&amp;ROUND(K499,4)&amp;" . "&amp;"["&amp;"("&amp;K491&amp;" - "&amp;K487&amp;")"&amp;"/"&amp;"("&amp;ROUND(K493,0)&amp;" . "&amp;K489&amp;")"&amp;" - "&amp;"0,05"&amp;" . "&amp;"("&amp;K495&amp;" - "&amp;K497&amp;")"&amp;"]"</f>
        <v>0,02 . 0,5656 . [(212629988,255992 - 31894498,2383989)/(94323 . 10) - 0,05 . (8 - 5)]</v>
      </c>
      <c r="H483" s="1436"/>
      <c r="I483" s="1436"/>
      <c r="J483" s="1436"/>
      <c r="K483" s="1436"/>
      <c r="L483" s="687" t="s">
        <v>4</v>
      </c>
      <c r="M483" s="100">
        <f>0.02*K499*(((K491-K487)/(K493*K489))-((0.05*(K495-K497))))</f>
        <v>2.1658312531692578</v>
      </c>
      <c r="N483" s="100"/>
    </row>
    <row r="484" spans="1:18" x14ac:dyDescent="0.25">
      <c r="A484" s="693"/>
      <c r="B484" s="1233"/>
    </row>
    <row r="485" spans="1:18" x14ac:dyDescent="0.25">
      <c r="A485" s="687" t="s">
        <v>5</v>
      </c>
      <c r="B485" s="687"/>
    </row>
    <row r="487" spans="1:18" s="671" customFormat="1" x14ac:dyDescent="0.25">
      <c r="A487" s="674" t="s">
        <v>319</v>
      </c>
      <c r="B487" s="1228"/>
      <c r="C487" s="673" t="s">
        <v>339</v>
      </c>
      <c r="G487" s="672"/>
      <c r="I487" s="673"/>
      <c r="K487" s="688">
        <f>'Hoja Llave'!O36</f>
        <v>31894498.238398861</v>
      </c>
      <c r="M487" s="678"/>
      <c r="N487" s="430"/>
      <c r="R487" s="314"/>
    </row>
    <row r="488" spans="1:18" x14ac:dyDescent="0.25">
      <c r="A488" s="693"/>
      <c r="B488" s="1233"/>
      <c r="K488" s="430"/>
      <c r="R488" s="671"/>
    </row>
    <row r="489" spans="1:18" x14ac:dyDescent="0.25">
      <c r="A489" s="693" t="s">
        <v>179</v>
      </c>
      <c r="B489" s="1233"/>
      <c r="C489" s="687" t="s">
        <v>312</v>
      </c>
      <c r="K489" s="460">
        <f>+'[1]Hoja Llave'!O24</f>
        <v>10</v>
      </c>
      <c r="M489" s="675"/>
    </row>
    <row r="490" spans="1:18" x14ac:dyDescent="0.25">
      <c r="A490" s="693"/>
      <c r="B490" s="1233"/>
      <c r="K490" s="430"/>
    </row>
    <row r="491" spans="1:18" x14ac:dyDescent="0.25">
      <c r="A491" s="693" t="s">
        <v>306</v>
      </c>
      <c r="B491" s="1233"/>
      <c r="C491" s="687" t="s">
        <v>320</v>
      </c>
      <c r="K491" s="688">
        <f>K416</f>
        <v>212629988.25599241</v>
      </c>
      <c r="M491" s="678"/>
    </row>
    <row r="492" spans="1:18" x14ac:dyDescent="0.25">
      <c r="A492" s="693"/>
      <c r="B492" s="1233"/>
      <c r="K492" s="430"/>
      <c r="M492" s="728"/>
    </row>
    <row r="493" spans="1:18" x14ac:dyDescent="0.25">
      <c r="A493" s="693" t="s">
        <v>234</v>
      </c>
      <c r="B493" s="1233"/>
      <c r="C493" s="687" t="s">
        <v>236</v>
      </c>
      <c r="K493" s="679">
        <f>'Hoja Llave'!O34</f>
        <v>94323.109686616328</v>
      </c>
      <c r="M493" s="678"/>
      <c r="N493" s="421" t="s">
        <v>707</v>
      </c>
    </row>
    <row r="494" spans="1:18" x14ac:dyDescent="0.25">
      <c r="A494" s="693"/>
      <c r="B494" s="1233"/>
      <c r="K494" s="430"/>
    </row>
    <row r="495" spans="1:18" x14ac:dyDescent="0.25">
      <c r="A495" s="693" t="s">
        <v>301</v>
      </c>
      <c r="B495" s="1233"/>
      <c r="C495" s="687" t="s">
        <v>314</v>
      </c>
      <c r="K495" s="460">
        <f>+'[1]Hoja Llave'!O55</f>
        <v>8</v>
      </c>
      <c r="M495" s="675"/>
    </row>
    <row r="496" spans="1:18" x14ac:dyDescent="0.25">
      <c r="A496" s="693"/>
      <c r="B496" s="1233"/>
      <c r="K496" s="430"/>
    </row>
    <row r="497" spans="1:18" x14ac:dyDescent="0.25">
      <c r="A497" s="693" t="s">
        <v>315</v>
      </c>
      <c r="B497" s="1233"/>
      <c r="C497" s="687" t="s">
        <v>316</v>
      </c>
      <c r="K497" s="460">
        <f>+'[1]Hoja Llave'!O58</f>
        <v>5</v>
      </c>
      <c r="M497" s="675"/>
    </row>
    <row r="498" spans="1:18" x14ac:dyDescent="0.25">
      <c r="A498" s="693"/>
      <c r="B498" s="1233"/>
      <c r="K498" s="430"/>
    </row>
    <row r="499" spans="1:18" x14ac:dyDescent="0.25">
      <c r="A499" s="693" t="s">
        <v>203</v>
      </c>
      <c r="B499" s="1233"/>
      <c r="C499" s="687" t="s">
        <v>321</v>
      </c>
      <c r="K499" s="460">
        <f>'Hoja Llave'!O42</f>
        <v>0.56559999999999999</v>
      </c>
      <c r="M499" s="675">
        <f>+K499-'[1]Calculo FETAP ASETAC'!J495</f>
        <v>-1.3719983407664782E-2</v>
      </c>
    </row>
    <row r="500" spans="1:18" x14ac:dyDescent="0.25">
      <c r="A500" s="693"/>
      <c r="B500" s="1233"/>
      <c r="C500" s="687"/>
    </row>
    <row r="501" spans="1:18" x14ac:dyDescent="0.25">
      <c r="A501" s="693"/>
      <c r="B501" s="1233"/>
      <c r="C501" s="687"/>
    </row>
    <row r="502" spans="1:18" s="665" customFormat="1" x14ac:dyDescent="0.25">
      <c r="A502" s="693" t="s">
        <v>322</v>
      </c>
      <c r="B502" s="1233"/>
      <c r="C502" s="1436" t="s">
        <v>323</v>
      </c>
      <c r="D502" s="1436"/>
      <c r="E502" s="1436"/>
      <c r="F502" s="1436"/>
      <c r="G502" s="693" t="s">
        <v>4</v>
      </c>
      <c r="H502" s="1436" t="str">
        <f>+ROUND(M464,4)&amp;" + "&amp;ROUND(M483,4)</f>
        <v>1,3276 + 2,1658</v>
      </c>
      <c r="I502" s="1436"/>
      <c r="J502" s="1436"/>
      <c r="K502" s="100" t="s">
        <v>4</v>
      </c>
      <c r="N502" s="431">
        <f>+M464+M483</f>
        <v>3.4933852622563353</v>
      </c>
      <c r="R502" s="314"/>
    </row>
    <row r="503" spans="1:18" x14ac:dyDescent="0.25">
      <c r="A503" s="693"/>
      <c r="B503" s="1233"/>
      <c r="R503" s="665"/>
    </row>
    <row r="504" spans="1:18" s="665" customFormat="1" ht="17.399999999999999" x14ac:dyDescent="0.25">
      <c r="A504" s="666" t="s">
        <v>117</v>
      </c>
      <c r="B504" s="667"/>
      <c r="C504" s="667" t="s">
        <v>118</v>
      </c>
      <c r="D504" s="667"/>
      <c r="E504" s="667"/>
      <c r="F504" s="667"/>
      <c r="G504" s="668" t="s">
        <v>119</v>
      </c>
      <c r="H504" s="667"/>
      <c r="I504" s="667"/>
      <c r="J504" s="667"/>
      <c r="K504" s="428"/>
      <c r="L504" s="667"/>
      <c r="M504" s="667"/>
      <c r="N504" s="435">
        <f>+N508</f>
        <v>7.4041099671310633</v>
      </c>
      <c r="O504" s="669" t="s">
        <v>462</v>
      </c>
      <c r="R504" s="314"/>
    </row>
    <row r="505" spans="1:18" x14ac:dyDescent="0.25">
      <c r="R505" s="665"/>
    </row>
    <row r="506" spans="1:18" x14ac:dyDescent="0.25">
      <c r="A506" s="687" t="s">
        <v>120</v>
      </c>
      <c r="B506" s="687"/>
    </row>
    <row r="508" spans="1:18" s="665" customFormat="1" x14ac:dyDescent="0.25">
      <c r="A508" s="693" t="s">
        <v>121</v>
      </c>
      <c r="B508" s="1233"/>
      <c r="C508" s="1436" t="s">
        <v>122</v>
      </c>
      <c r="D508" s="1436"/>
      <c r="E508" s="693" t="s">
        <v>4</v>
      </c>
      <c r="F508" s="1436" t="str">
        <f>0.1&amp;" . "&amp;ROUND(N418,4)</f>
        <v>0,1 . 74,0411</v>
      </c>
      <c r="G508" s="1436"/>
      <c r="H508" s="1436"/>
      <c r="I508" s="1436"/>
      <c r="J508" s="693" t="s">
        <v>4</v>
      </c>
      <c r="K508" s="100"/>
      <c r="N508" s="450">
        <f>0.1*N418</f>
        <v>7.4041099671310633</v>
      </c>
      <c r="R508" s="314"/>
    </row>
    <row r="509" spans="1:18" x14ac:dyDescent="0.25">
      <c r="R509" s="665"/>
    </row>
    <row r="511" spans="1:18" s="665" customFormat="1" ht="17.399999999999999" x14ac:dyDescent="0.25">
      <c r="A511" s="666" t="s">
        <v>123</v>
      </c>
      <c r="B511" s="667"/>
      <c r="C511" s="667" t="s">
        <v>124</v>
      </c>
      <c r="D511" s="667"/>
      <c r="E511" s="667"/>
      <c r="F511" s="667"/>
      <c r="G511" s="668" t="s">
        <v>129</v>
      </c>
      <c r="H511" s="667"/>
      <c r="I511" s="667"/>
      <c r="J511" s="667"/>
      <c r="K511" s="428"/>
      <c r="L511" s="667"/>
      <c r="M511" s="667"/>
      <c r="N511" s="435">
        <f>+N515</f>
        <v>4.6382576560168767</v>
      </c>
      <c r="O511" s="740"/>
      <c r="R511" s="314"/>
    </row>
    <row r="512" spans="1:18" x14ac:dyDescent="0.25">
      <c r="R512" s="665"/>
    </row>
    <row r="513" spans="1:18" x14ac:dyDescent="0.25">
      <c r="A513" s="687" t="s">
        <v>125</v>
      </c>
      <c r="B513" s="687"/>
    </row>
    <row r="515" spans="1:18" s="665" customFormat="1" x14ac:dyDescent="0.25">
      <c r="A515" s="748" t="s">
        <v>126</v>
      </c>
      <c r="B515" s="1237"/>
      <c r="C515" s="1444" t="s">
        <v>127</v>
      </c>
      <c r="D515" s="1444"/>
      <c r="E515" s="1434" t="s">
        <v>4</v>
      </c>
      <c r="F515" s="1445">
        <f>ROUND(+K520,4)</f>
        <v>423127.3</v>
      </c>
      <c r="G515" s="1445"/>
      <c r="H515" s="1445"/>
      <c r="I515" s="1445"/>
      <c r="J515" s="1434" t="s">
        <v>4</v>
      </c>
      <c r="K515" s="100"/>
      <c r="N515" s="431">
        <f>+F515/((K526*K524)+(K522*K528))</f>
        <v>4.6382576560168767</v>
      </c>
      <c r="R515" s="314"/>
    </row>
    <row r="516" spans="1:18" s="665" customFormat="1" x14ac:dyDescent="0.25">
      <c r="A516" s="748"/>
      <c r="B516" s="1237"/>
      <c r="C516" s="1434" t="s">
        <v>324</v>
      </c>
      <c r="D516" s="1434"/>
      <c r="E516" s="1434"/>
      <c r="F516" s="1446" t="str">
        <f>ROUND(K526,0)&amp;" . "&amp;ROUND(K524,4)&amp;" + "&amp;ROUND(K528,0)&amp;" . "&amp;ROUND(K522,4)</f>
        <v>87192 . 0,4344 + 94323 . 0,5656</v>
      </c>
      <c r="G516" s="1446"/>
      <c r="H516" s="1446"/>
      <c r="I516" s="1446"/>
      <c r="J516" s="1434"/>
      <c r="K516" s="100"/>
      <c r="N516" s="100"/>
    </row>
    <row r="517" spans="1:18" x14ac:dyDescent="0.25">
      <c r="R517" s="665"/>
    </row>
    <row r="518" spans="1:18" x14ac:dyDescent="0.25">
      <c r="A518" s="687" t="s">
        <v>5</v>
      </c>
      <c r="B518" s="687"/>
    </row>
    <row r="520" spans="1:18" x14ac:dyDescent="0.25">
      <c r="A520" s="665" t="s">
        <v>127</v>
      </c>
      <c r="C520" s="687" t="s">
        <v>325</v>
      </c>
      <c r="K520" s="688">
        <f>'Hoja Llave'!O25</f>
        <v>423127.3</v>
      </c>
      <c r="M520" s="675"/>
    </row>
    <row r="522" spans="1:18" x14ac:dyDescent="0.25">
      <c r="A522" s="665" t="s">
        <v>203</v>
      </c>
      <c r="C522" s="687" t="s">
        <v>206</v>
      </c>
      <c r="K522" s="460">
        <f>'Hoja Llave'!O42</f>
        <v>0.56559999999999999</v>
      </c>
      <c r="M522" s="675"/>
    </row>
    <row r="524" spans="1:18" x14ac:dyDescent="0.25">
      <c r="A524" s="665" t="s">
        <v>193</v>
      </c>
      <c r="C524" s="687" t="s">
        <v>194</v>
      </c>
      <c r="K524" s="460">
        <f>'Hoja Llave'!O41</f>
        <v>0.43440000000000001</v>
      </c>
      <c r="M524" s="675"/>
    </row>
    <row r="526" spans="1:18" x14ac:dyDescent="0.25">
      <c r="A526" s="665" t="s">
        <v>333</v>
      </c>
      <c r="C526" s="687" t="s">
        <v>326</v>
      </c>
      <c r="K526" s="717">
        <f>'Hoja Llave'!O33</f>
        <v>87192.295695960551</v>
      </c>
      <c r="M526" s="678"/>
      <c r="N526" s="421" t="s">
        <v>707</v>
      </c>
    </row>
    <row r="527" spans="1:18" x14ac:dyDescent="0.25">
      <c r="M527" s="728"/>
    </row>
    <row r="528" spans="1:18" x14ac:dyDescent="0.25">
      <c r="A528" s="665" t="s">
        <v>234</v>
      </c>
      <c r="C528" s="687" t="s">
        <v>327</v>
      </c>
      <c r="K528" s="717">
        <f>'Hoja Llave'!O34</f>
        <v>94323.109686616328</v>
      </c>
      <c r="M528" s="678"/>
      <c r="N528" s="421" t="s">
        <v>707</v>
      </c>
    </row>
    <row r="530" spans="1:18" s="665" customFormat="1" x14ac:dyDescent="0.25">
      <c r="A530" s="693" t="s">
        <v>164</v>
      </c>
      <c r="B530" s="1233"/>
      <c r="C530" s="1436" t="s">
        <v>130</v>
      </c>
      <c r="D530" s="1436"/>
      <c r="F530" s="1436" t="str">
        <f>+ROUND(N502,4)&amp;" + "&amp;ROUND(N508,4)&amp;" + "&amp;ROUND(N515,4)</f>
        <v>3,4934 + 7,4041 + 4,6383</v>
      </c>
      <c r="G530" s="1436"/>
      <c r="H530" s="1436"/>
      <c r="I530" s="1436"/>
      <c r="J530" s="693" t="s">
        <v>4</v>
      </c>
      <c r="K530" s="100"/>
      <c r="N530" s="431">
        <f>+N515+N508+N502</f>
        <v>15.535752885404275</v>
      </c>
      <c r="R530" s="314"/>
    </row>
    <row r="531" spans="1:18" x14ac:dyDescent="0.25">
      <c r="R531" s="665"/>
    </row>
    <row r="533" spans="1:18" s="665" customFormat="1" ht="17.399999999999999" x14ac:dyDescent="0.25">
      <c r="A533" s="666" t="s">
        <v>131</v>
      </c>
      <c r="B533" s="667"/>
      <c r="C533" s="667" t="s">
        <v>132</v>
      </c>
      <c r="D533" s="667"/>
      <c r="E533" s="667"/>
      <c r="F533" s="667"/>
      <c r="G533" s="668" t="s">
        <v>153</v>
      </c>
      <c r="H533" s="667"/>
      <c r="I533" s="667"/>
      <c r="J533" s="667"/>
      <c r="K533" s="428"/>
      <c r="L533" s="667"/>
      <c r="M533" s="667"/>
      <c r="N533" s="435">
        <f>+N535</f>
        <v>64.495499186323983</v>
      </c>
      <c r="O533" s="740"/>
      <c r="R533" s="314"/>
    </row>
    <row r="534" spans="1:18" x14ac:dyDescent="0.25">
      <c r="R534" s="665"/>
    </row>
    <row r="535" spans="1:18" s="665" customFormat="1" x14ac:dyDescent="0.25">
      <c r="A535" s="693" t="s">
        <v>133</v>
      </c>
      <c r="B535" s="1233"/>
      <c r="C535" s="665" t="s">
        <v>138</v>
      </c>
      <c r="F535" s="1436" t="str">
        <f>0.03&amp;" . "&amp;"("&amp;ROUND(N187,4)&amp;" + "&amp;ROUND(N326,4)&amp;" + "&amp;ROUND(N451,4)&amp;" + "&amp;ROUND(N530,4)&amp;")"</f>
        <v>0,03 . (1296,2224 + 418,9384 + 419,1535 + 15,5358)</v>
      </c>
      <c r="G535" s="1436"/>
      <c r="H535" s="1436"/>
      <c r="I535" s="1436"/>
      <c r="J535" s="1436"/>
      <c r="K535" s="719" t="s">
        <v>4</v>
      </c>
      <c r="N535" s="431">
        <f>0.03*(N187+N326+N451+N530)</f>
        <v>64.495499186323983</v>
      </c>
      <c r="R535" s="314"/>
    </row>
    <row r="536" spans="1:18" x14ac:dyDescent="0.25">
      <c r="N536" s="430"/>
      <c r="R536" s="665"/>
    </row>
    <row r="537" spans="1:18" x14ac:dyDescent="0.25">
      <c r="N537" s="430"/>
    </row>
    <row r="538" spans="1:18" s="665" customFormat="1" ht="17.399999999999999" x14ac:dyDescent="0.25">
      <c r="A538" s="666" t="s">
        <v>134</v>
      </c>
      <c r="B538" s="667"/>
      <c r="C538" s="667" t="s">
        <v>135</v>
      </c>
      <c r="D538" s="667"/>
      <c r="E538" s="667"/>
      <c r="F538" s="667"/>
      <c r="G538" s="668" t="s">
        <v>152</v>
      </c>
      <c r="H538" s="667"/>
      <c r="I538" s="667"/>
      <c r="J538" s="667"/>
      <c r="K538" s="428"/>
      <c r="L538" s="667"/>
      <c r="M538" s="667"/>
      <c r="N538" s="435">
        <f>+N540</f>
        <v>221.43454720637908</v>
      </c>
      <c r="O538" s="740"/>
      <c r="R538" s="314"/>
    </row>
    <row r="539" spans="1:18" x14ac:dyDescent="0.25">
      <c r="A539" s="693"/>
      <c r="B539" s="1233"/>
      <c r="N539" s="430"/>
      <c r="R539" s="665"/>
    </row>
    <row r="540" spans="1:18" s="665" customFormat="1" x14ac:dyDescent="0.25">
      <c r="A540" s="693" t="s">
        <v>136</v>
      </c>
      <c r="B540" s="1233"/>
      <c r="C540" s="665" t="s">
        <v>137</v>
      </c>
      <c r="F540" s="1436" t="str">
        <f>0.1&amp;" . "&amp;"("&amp;ROUND(N187,4)&amp;" + "&amp;ROUND(N326,4)&amp;" + "&amp;ROUND(N451,4)&amp;" + "&amp;ROUND(N530,4)&amp;" + "&amp;ROUND(N535,4)&amp;")"</f>
        <v>0,1 . (1296,2224 + 418,9384 + 419,1535 + 15,5358 + 64,4955)</v>
      </c>
      <c r="G540" s="1436"/>
      <c r="H540" s="1436"/>
      <c r="I540" s="1436"/>
      <c r="J540" s="1436"/>
      <c r="K540" s="658" t="s">
        <v>4</v>
      </c>
      <c r="N540" s="431">
        <f>0.1*(N187+N326+N451+N530+N535)</f>
        <v>221.43454720637908</v>
      </c>
      <c r="R540" s="314"/>
    </row>
    <row r="541" spans="1:18" x14ac:dyDescent="0.25">
      <c r="N541" s="430"/>
      <c r="R541" s="665"/>
    </row>
    <row r="542" spans="1:18" x14ac:dyDescent="0.25">
      <c r="N542" s="430"/>
    </row>
    <row r="543" spans="1:18" s="665" customFormat="1" ht="17.399999999999999" x14ac:dyDescent="0.25">
      <c r="A543" s="666" t="s">
        <v>139</v>
      </c>
      <c r="B543" s="667"/>
      <c r="C543" s="667" t="s">
        <v>140</v>
      </c>
      <c r="D543" s="667"/>
      <c r="E543" s="667"/>
      <c r="F543" s="667"/>
      <c r="G543" s="668" t="s">
        <v>151</v>
      </c>
      <c r="H543" s="667"/>
      <c r="I543" s="667"/>
      <c r="J543" s="667"/>
      <c r="K543" s="428"/>
      <c r="L543" s="667"/>
      <c r="M543" s="667"/>
      <c r="N543" s="435">
        <f>+N571</f>
        <v>0.20027584421944661</v>
      </c>
      <c r="O543" s="740"/>
      <c r="R543" s="314"/>
    </row>
    <row r="544" spans="1:18" x14ac:dyDescent="0.25">
      <c r="N544" s="430"/>
      <c r="R544" s="665"/>
    </row>
    <row r="545" spans="1:18" s="665" customFormat="1" x14ac:dyDescent="0.25">
      <c r="A545" s="693" t="s">
        <v>141</v>
      </c>
      <c r="B545" s="1233"/>
      <c r="C545" s="665" t="s">
        <v>142</v>
      </c>
      <c r="F545" s="1436" t="str">
        <f>+L549&amp;" . "&amp;"("&amp;ROUND(N187,4)&amp;" + "&amp;ROUND(N326,4)&amp;" + "&amp;ROUND(N451,4)&amp;" + "&amp;ROUND(N530,4)&amp;" + "&amp;ROUND(N535,4)&amp;" + "&amp;ROUND(N540,4)&amp;")"</f>
        <v>0 . (1296,2224 + 418,9384 + 419,1535 + 15,5358 + 64,4955 + 221,4345)</v>
      </c>
      <c r="G545" s="1436"/>
      <c r="H545" s="1436"/>
      <c r="I545" s="1436"/>
      <c r="J545" s="1436"/>
      <c r="K545" s="1436"/>
      <c r="L545" s="693" t="s">
        <v>4</v>
      </c>
      <c r="N545" s="431">
        <f>+L549*(N187+N326+N451+N530+N535+N540)</f>
        <v>0</v>
      </c>
      <c r="R545" s="314"/>
    </row>
    <row r="546" spans="1:18" x14ac:dyDescent="0.25">
      <c r="N546" s="430"/>
      <c r="R546" s="665"/>
    </row>
    <row r="547" spans="1:18" x14ac:dyDescent="0.25">
      <c r="A547" s="687" t="s">
        <v>5</v>
      </c>
      <c r="B547" s="687"/>
      <c r="N547" s="430"/>
    </row>
    <row r="548" spans="1:18" x14ac:dyDescent="0.25">
      <c r="N548" s="430"/>
    </row>
    <row r="549" spans="1:18" x14ac:dyDescent="0.25">
      <c r="A549" s="665" t="s">
        <v>143</v>
      </c>
      <c r="C549" s="687" t="s">
        <v>385</v>
      </c>
      <c r="L549" s="776">
        <f>+'[1]Hoja Llave'!O26</f>
        <v>0</v>
      </c>
      <c r="N549" s="430"/>
    </row>
    <row r="550" spans="1:18" x14ac:dyDescent="0.25">
      <c r="C550" s="687" t="s">
        <v>343</v>
      </c>
      <c r="N550" s="430"/>
    </row>
    <row r="551" spans="1:18" x14ac:dyDescent="0.25">
      <c r="C551" s="687"/>
      <c r="N551" s="430"/>
    </row>
    <row r="552" spans="1:18" s="665" customFormat="1" x14ac:dyDescent="0.25">
      <c r="A552" s="665" t="s">
        <v>344</v>
      </c>
      <c r="C552" s="1433" t="s">
        <v>348</v>
      </c>
      <c r="D552" s="1433"/>
      <c r="E552" s="1433"/>
      <c r="G552" s="1433" t="str">
        <f>+K556&amp;" . "&amp;"("&amp;ROUND(K560,4)&amp;" . "&amp;"("&amp;"("&amp;"0,70"&amp;" . "&amp;"41"&amp;")"&amp;" + "&amp;"("&amp;"0,30"&amp;" . "&amp;"45"&amp;")"&amp;")"&amp;")"</f>
        <v>410 . (0,4344 . ((0,70 . 41) + (0,30 . 45)))</v>
      </c>
      <c r="H552" s="1433"/>
      <c r="I552" s="1433"/>
      <c r="J552" s="1433"/>
      <c r="K552" s="100" t="s">
        <v>4</v>
      </c>
      <c r="N552" s="431">
        <f>+(K556*(K560*((0.7*41)+(0.3*45))))/K558</f>
        <v>8.6200148075103414E-2</v>
      </c>
      <c r="R552" s="314"/>
    </row>
    <row r="553" spans="1:18" s="665" customFormat="1" x14ac:dyDescent="0.25">
      <c r="C553" s="1436" t="s">
        <v>333</v>
      </c>
      <c r="D553" s="1436"/>
      <c r="I553" s="777">
        <f>+K558</f>
        <v>87192.295695960551</v>
      </c>
      <c r="J553" s="778"/>
      <c r="K553" s="100"/>
      <c r="N553" s="431"/>
    </row>
    <row r="554" spans="1:18" x14ac:dyDescent="0.25">
      <c r="A554" s="687" t="s">
        <v>5</v>
      </c>
      <c r="B554" s="687"/>
      <c r="C554" s="687"/>
      <c r="R554" s="665"/>
    </row>
    <row r="555" spans="1:18" x14ac:dyDescent="0.25">
      <c r="C555" s="687"/>
    </row>
    <row r="556" spans="1:18" x14ac:dyDescent="0.25">
      <c r="A556" s="665" t="s">
        <v>345</v>
      </c>
      <c r="C556" s="687" t="s">
        <v>346</v>
      </c>
      <c r="K556" s="460">
        <f>'Hoja Llave'!O59</f>
        <v>410</v>
      </c>
      <c r="M556" s="675">
        <f>+K556-'[1]Calculo FETAP ASETAC'!J552</f>
        <v>250</v>
      </c>
    </row>
    <row r="557" spans="1:18" x14ac:dyDescent="0.25">
      <c r="C557" s="687"/>
    </row>
    <row r="558" spans="1:18" x14ac:dyDescent="0.25">
      <c r="A558" s="665" t="s">
        <v>333</v>
      </c>
      <c r="C558" s="687" t="s">
        <v>235</v>
      </c>
      <c r="K558" s="679">
        <f>'Hoja Llave'!O33</f>
        <v>87192.295695960551</v>
      </c>
      <c r="M558" s="678">
        <f>+K558-'[1]Calculo FETAP ASETAC'!J554</f>
        <v>-12707.704304039449</v>
      </c>
      <c r="N558" s="421" t="s">
        <v>707</v>
      </c>
    </row>
    <row r="559" spans="1:18" x14ac:dyDescent="0.25">
      <c r="C559" s="687"/>
    </row>
    <row r="560" spans="1:18" x14ac:dyDescent="0.25">
      <c r="A560" s="665" t="s">
        <v>193</v>
      </c>
      <c r="C560" s="687" t="s">
        <v>194</v>
      </c>
      <c r="K560" s="460">
        <f>'Hoja Llave'!O41</f>
        <v>0.43440000000000001</v>
      </c>
      <c r="M560" s="675">
        <f>+K560-'[1]Calculo FETAP ASETAC'!J556</f>
        <v>1.3719983407664726E-2</v>
      </c>
    </row>
    <row r="561" spans="1:18" x14ac:dyDescent="0.25">
      <c r="C561" s="687"/>
    </row>
    <row r="562" spans="1:18" x14ac:dyDescent="0.25">
      <c r="C562" s="687"/>
    </row>
    <row r="563" spans="1:18" s="665" customFormat="1" x14ac:dyDescent="0.25">
      <c r="A563" s="665" t="s">
        <v>347</v>
      </c>
      <c r="C563" s="779" t="s">
        <v>615</v>
      </c>
      <c r="D563" s="779"/>
      <c r="E563" s="779"/>
      <c r="G563" s="779" t="str">
        <f>+K565&amp;" . "&amp;"("&amp;ROUND(K569,4)&amp;" . "&amp;"("&amp;"("&amp;"0,15"&amp;" . "&amp;"41"&amp;")"&amp;" + "&amp;"("&amp;"0,45"&amp;" . "&amp;"45"&amp;")"&amp;" + "&amp;"("&amp;"0,40"&amp;" . "&amp;"50"&amp;")"&amp;")"&amp;")"</f>
        <v>410 . (0,5656 . ((0,15 . 41) + (0,45 . 45) + (0,40 . 50)))</v>
      </c>
      <c r="H563" s="779"/>
      <c r="I563" s="779"/>
      <c r="J563" s="779"/>
      <c r="K563" s="100" t="s">
        <v>4</v>
      </c>
      <c r="N563" s="431">
        <f>+(K565*(K569*((0.15*41)+(0.45*45)+(0.4*50))))/K567</f>
        <v>0.11407569614434321</v>
      </c>
      <c r="R563" s="314"/>
    </row>
    <row r="564" spans="1:18" s="665" customFormat="1" x14ac:dyDescent="0.25">
      <c r="C564" s="1440" t="s">
        <v>334</v>
      </c>
      <c r="D564" s="1440"/>
      <c r="E564" s="1440"/>
      <c r="G564" s="778"/>
      <c r="I564" s="777">
        <f>+K567</f>
        <v>94323.109686616328</v>
      </c>
      <c r="J564" s="778"/>
      <c r="K564" s="100"/>
      <c r="N564" s="100"/>
    </row>
    <row r="565" spans="1:18" x14ac:dyDescent="0.25">
      <c r="A565" s="665" t="s">
        <v>345</v>
      </c>
      <c r="C565" s="687" t="s">
        <v>346</v>
      </c>
      <c r="K565" s="797">
        <f>'Hoja Llave'!O59</f>
        <v>410</v>
      </c>
      <c r="M565" s="675">
        <f>+K565-'[1]Calculo FETAP ASETAC'!J561</f>
        <v>250</v>
      </c>
      <c r="R565" s="665"/>
    </row>
    <row r="566" spans="1:18" x14ac:dyDescent="0.25">
      <c r="C566" s="687"/>
    </row>
    <row r="567" spans="1:18" x14ac:dyDescent="0.25">
      <c r="A567" s="665" t="s">
        <v>234</v>
      </c>
      <c r="C567" s="687" t="s">
        <v>236</v>
      </c>
      <c r="K567" s="717">
        <f>'Hoja Llave'!O34</f>
        <v>94323.109686616328</v>
      </c>
      <c r="M567" s="678">
        <f>+K567-'[1]Calculo FETAP ASETAC'!J563</f>
        <v>-55040.890313383672</v>
      </c>
      <c r="N567" s="421" t="s">
        <v>707</v>
      </c>
    </row>
    <row r="568" spans="1:18" x14ac:dyDescent="0.25">
      <c r="C568" s="687"/>
    </row>
    <row r="569" spans="1:18" x14ac:dyDescent="0.25">
      <c r="A569" s="665" t="s">
        <v>203</v>
      </c>
      <c r="C569" s="687" t="s">
        <v>206</v>
      </c>
      <c r="K569" s="460">
        <f>'Hoja Llave'!O42</f>
        <v>0.56559999999999999</v>
      </c>
      <c r="M569" s="675">
        <f>+K569-'[1]Calculo FETAP ASETAC'!J565</f>
        <v>-1.3719983407664782E-2</v>
      </c>
    </row>
    <row r="570" spans="1:18" x14ac:dyDescent="0.25">
      <c r="C570" s="687"/>
    </row>
    <row r="571" spans="1:18" s="665" customFormat="1" x14ac:dyDescent="0.25">
      <c r="A571" s="665" t="s">
        <v>350</v>
      </c>
      <c r="C571" s="1436" t="s">
        <v>351</v>
      </c>
      <c r="D571" s="1436"/>
      <c r="E571" s="1436"/>
      <c r="F571" s="665" t="s">
        <v>4</v>
      </c>
      <c r="G571" s="1436" t="str">
        <f>+ROUND(N545,4)&amp;" + "&amp;ROUND(N552,4)&amp;" + "&amp;ROUND(N563,4)</f>
        <v>0 + 0,0862 + 0,1141</v>
      </c>
      <c r="H571" s="1436"/>
      <c r="I571" s="1436"/>
      <c r="J571" s="1436"/>
      <c r="K571" s="100" t="s">
        <v>4</v>
      </c>
      <c r="N571" s="431">
        <f>+N563+N552+N545</f>
        <v>0.20027584421944661</v>
      </c>
      <c r="R571" s="314"/>
    </row>
    <row r="572" spans="1:18" x14ac:dyDescent="0.25">
      <c r="C572" s="687"/>
      <c r="R572" s="665"/>
    </row>
    <row r="573" spans="1:18" x14ac:dyDescent="0.25">
      <c r="C573" s="687"/>
    </row>
    <row r="574" spans="1:18" s="665" customFormat="1" ht="17.399999999999999" x14ac:dyDescent="0.25">
      <c r="A574" s="729" t="s">
        <v>144</v>
      </c>
      <c r="B574" s="729"/>
      <c r="C574" s="729" t="s">
        <v>145</v>
      </c>
      <c r="D574" s="729"/>
      <c r="E574" s="729"/>
      <c r="F574" s="1441" t="str">
        <f>+ROUND(N530,4)&amp;" + "&amp;ROUND(N535,4)&amp;" + "&amp;ROUND(N540,4)&amp;" + "&amp;ROUND(N571,4)</f>
        <v>15,5358 + 64,4955 + 221,4345 + 0,2003</v>
      </c>
      <c r="G574" s="1441"/>
      <c r="H574" s="1441"/>
      <c r="I574" s="1441"/>
      <c r="J574" s="1441"/>
      <c r="K574" s="439" t="s">
        <v>4</v>
      </c>
      <c r="L574" s="729"/>
      <c r="M574" s="729"/>
      <c r="N574" s="440">
        <f>+N511+N533+N538+N543+N504+N460</f>
        <v>301.66607512232679</v>
      </c>
      <c r="O574" s="780"/>
      <c r="R574" s="314"/>
    </row>
    <row r="575" spans="1:18" x14ac:dyDescent="0.25">
      <c r="R575" s="665"/>
    </row>
    <row r="577" spans="1:19" s="665" customFormat="1" x14ac:dyDescent="0.25">
      <c r="A577" s="661" t="s">
        <v>150</v>
      </c>
      <c r="B577" s="662"/>
      <c r="C577" s="662"/>
      <c r="D577" s="662"/>
      <c r="E577" s="662"/>
      <c r="F577" s="662"/>
      <c r="G577" s="663"/>
      <c r="H577" s="662"/>
      <c r="I577" s="662"/>
      <c r="J577" s="662"/>
      <c r="K577" s="101"/>
      <c r="L577" s="662"/>
      <c r="M577" s="662"/>
      <c r="N577" s="438"/>
      <c r="R577" s="314"/>
    </row>
    <row r="578" spans="1:19" x14ac:dyDescent="0.25">
      <c r="R578" s="665"/>
    </row>
    <row r="579" spans="1:19" x14ac:dyDescent="0.25">
      <c r="A579" s="687" t="s">
        <v>146</v>
      </c>
      <c r="B579" s="687"/>
    </row>
    <row r="581" spans="1:19" s="665" customFormat="1" ht="17.399999999999999" x14ac:dyDescent="0.25">
      <c r="A581" s="729" t="s">
        <v>147</v>
      </c>
      <c r="B581" s="729"/>
      <c r="C581" s="1442" t="s">
        <v>165</v>
      </c>
      <c r="D581" s="1442"/>
      <c r="E581" s="730" t="s">
        <v>4</v>
      </c>
      <c r="F581" s="1443" t="str">
        <f>+ROUND(N187,4)&amp;" + "&amp;ROUND(N326,4)&amp;" + "&amp;ROUND(N451,4)&amp;" + "&amp;ROUND(N574,4)</f>
        <v>1296,2224 + 418,9384 + 419,1535 + 301,6661</v>
      </c>
      <c r="G581" s="1443"/>
      <c r="H581" s="1443"/>
      <c r="I581" s="1443"/>
      <c r="J581" s="730" t="s">
        <v>4</v>
      </c>
      <c r="K581" s="440"/>
      <c r="L581" s="729"/>
      <c r="M581" s="729"/>
      <c r="N581" s="451">
        <f>+N187+N326+N451+N574</f>
        <v>2435.9802951143888</v>
      </c>
      <c r="O581" s="780"/>
      <c r="R581" s="314"/>
    </row>
    <row r="582" spans="1:19" x14ac:dyDescent="0.25">
      <c r="R582" s="665"/>
    </row>
    <row r="584" spans="1:19" s="665" customFormat="1" x14ac:dyDescent="0.25">
      <c r="A584" s="661" t="s">
        <v>352</v>
      </c>
      <c r="B584" s="662"/>
      <c r="C584" s="662"/>
      <c r="D584" s="662"/>
      <c r="E584" s="662"/>
      <c r="F584" s="662"/>
      <c r="G584" s="663" t="s">
        <v>353</v>
      </c>
      <c r="H584" s="662"/>
      <c r="I584" s="662"/>
      <c r="J584" s="662"/>
      <c r="K584" s="101"/>
      <c r="L584" s="662"/>
      <c r="M584" s="662"/>
      <c r="N584" s="438"/>
      <c r="R584" s="314"/>
    </row>
    <row r="585" spans="1:19" x14ac:dyDescent="0.25">
      <c r="R585" s="665"/>
    </row>
    <row r="586" spans="1:19" s="665" customFormat="1" x14ac:dyDescent="0.25">
      <c r="A586" s="1434" t="s">
        <v>354</v>
      </c>
      <c r="B586" s="1237"/>
      <c r="C586" s="1433" t="s">
        <v>355</v>
      </c>
      <c r="D586" s="1433"/>
      <c r="E586" s="1434"/>
      <c r="F586" s="1438">
        <f>'Hoja Llave'!O60</f>
        <v>6886725643.698</v>
      </c>
      <c r="G586" s="1438"/>
      <c r="H586" s="1438"/>
      <c r="I586" s="1438"/>
      <c r="J586" s="1434" t="s">
        <v>4</v>
      </c>
      <c r="K586" s="100"/>
      <c r="N586" s="452">
        <f>+K591/(K593*K595)</f>
        <v>36.27128698190478</v>
      </c>
      <c r="O586" s="453" t="e">
        <f>+I591/(I593*I595)</f>
        <v>#REF!</v>
      </c>
      <c r="R586" s="314"/>
    </row>
    <row r="587" spans="1:19" s="665" customFormat="1" x14ac:dyDescent="0.25">
      <c r="A587" s="1434"/>
      <c r="B587" s="1237"/>
      <c r="C587" s="1436" t="s">
        <v>361</v>
      </c>
      <c r="D587" s="1436"/>
      <c r="E587" s="1434"/>
      <c r="F587" s="1439" t="str">
        <f>ROUND(+K593,0)&amp;" . "&amp;ROUND(K595,4)</f>
        <v>6452004 . 29,4276</v>
      </c>
      <c r="G587" s="1439"/>
      <c r="H587" s="1439"/>
      <c r="I587" s="1439"/>
      <c r="J587" s="1434"/>
      <c r="K587" s="100"/>
      <c r="N587" s="100"/>
      <c r="P587" s="446"/>
    </row>
    <row r="588" spans="1:19" x14ac:dyDescent="0.25">
      <c r="P588" s="728"/>
      <c r="R588" s="665"/>
    </row>
    <row r="589" spans="1:19" x14ac:dyDescent="0.25">
      <c r="A589" s="687" t="s">
        <v>5</v>
      </c>
      <c r="B589" s="687"/>
    </row>
    <row r="590" spans="1:19" x14ac:dyDescent="0.25">
      <c r="I590" s="781" t="s">
        <v>460</v>
      </c>
      <c r="K590" s="782" t="s">
        <v>396</v>
      </c>
      <c r="P590" s="783"/>
      <c r="Q590" s="783"/>
    </row>
    <row r="591" spans="1:19" x14ac:dyDescent="0.25">
      <c r="A591" s="665" t="s">
        <v>355</v>
      </c>
      <c r="C591" s="687" t="s">
        <v>357</v>
      </c>
      <c r="I591" s="784"/>
      <c r="J591" s="785"/>
      <c r="K591" s="786">
        <f>'Hoja Llave'!O60</f>
        <v>6886725643.698</v>
      </c>
      <c r="M591" s="675"/>
      <c r="N591" s="205">
        <f>+I591/K591-1</f>
        <v>-1</v>
      </c>
      <c r="P591" s="455"/>
      <c r="Q591" s="455"/>
      <c r="R591" s="454"/>
      <c r="S591" s="787"/>
    </row>
    <row r="592" spans="1:19" x14ac:dyDescent="0.25">
      <c r="I592" s="1249"/>
      <c r="J592" s="785"/>
      <c r="K592" s="788"/>
      <c r="N592" s="456"/>
      <c r="R592" s="455"/>
    </row>
    <row r="593" spans="1:20" x14ac:dyDescent="0.25">
      <c r="A593" s="665" t="s">
        <v>180</v>
      </c>
      <c r="C593" s="687" t="s">
        <v>181</v>
      </c>
      <c r="I593" s="1249"/>
      <c r="J593" s="785"/>
      <c r="K593" s="788">
        <f>'Hoja Llave'!O27</f>
        <v>6452004</v>
      </c>
      <c r="N593" s="205">
        <f>+I593/K593-1</f>
        <v>-1</v>
      </c>
      <c r="P593" s="457"/>
      <c r="Q593" s="457"/>
      <c r="S593" s="457"/>
    </row>
    <row r="594" spans="1:20" x14ac:dyDescent="0.25">
      <c r="I594" s="689"/>
      <c r="K594" s="782"/>
      <c r="P594" s="437"/>
      <c r="Q594" s="437"/>
      <c r="R594" s="457"/>
      <c r="S594" s="437"/>
    </row>
    <row r="595" spans="1:20" x14ac:dyDescent="0.25">
      <c r="A595" s="665" t="s">
        <v>356</v>
      </c>
      <c r="C595" s="687" t="s">
        <v>358</v>
      </c>
      <c r="I595" s="460" t="e">
        <f>'[1]Hoja Llave'!M61</f>
        <v>#REF!</v>
      </c>
      <c r="K595" s="782">
        <f>'Hoja Llave'!O61</f>
        <v>29.427623311663897</v>
      </c>
      <c r="N595" s="205" t="e">
        <f>+I595/K595-1</f>
        <v>#REF!</v>
      </c>
      <c r="P595" s="455"/>
      <c r="Q595" s="455"/>
      <c r="R595" s="437"/>
      <c r="S595" s="455"/>
      <c r="T595" s="787" t="e">
        <f>+S595/#REF!</f>
        <v>#REF!</v>
      </c>
    </row>
    <row r="596" spans="1:20" x14ac:dyDescent="0.25">
      <c r="R596" s="455"/>
    </row>
    <row r="597" spans="1:20" x14ac:dyDescent="0.25">
      <c r="P597" s="728"/>
      <c r="S597" s="761"/>
    </row>
    <row r="598" spans="1:20" s="665" customFormat="1" x14ac:dyDescent="0.25">
      <c r="A598" s="661" t="s">
        <v>148</v>
      </c>
      <c r="B598" s="662"/>
      <c r="C598" s="662"/>
      <c r="D598" s="662"/>
      <c r="E598" s="662"/>
      <c r="F598" s="662"/>
      <c r="G598" s="663" t="s">
        <v>149</v>
      </c>
      <c r="H598" s="662"/>
      <c r="I598" s="662"/>
      <c r="J598" s="662"/>
      <c r="K598" s="101"/>
      <c r="L598" s="662"/>
      <c r="M598" s="662"/>
      <c r="N598" s="438"/>
      <c r="R598" s="314"/>
    </row>
    <row r="599" spans="1:20" s="665" customFormat="1" x14ac:dyDescent="0.25">
      <c r="G599" s="693"/>
      <c r="K599" s="100"/>
      <c r="N599" s="100"/>
    </row>
    <row r="600" spans="1:20" s="665" customFormat="1" ht="14.4" thickBot="1" x14ac:dyDescent="0.3">
      <c r="G600" s="693"/>
      <c r="K600" s="100"/>
      <c r="N600" s="100"/>
      <c r="P600" s="789" t="s">
        <v>711</v>
      </c>
    </row>
    <row r="601" spans="1:20" s="665" customFormat="1" ht="18" thickBot="1" x14ac:dyDescent="0.3">
      <c r="A601" s="665" t="s">
        <v>154</v>
      </c>
      <c r="C601" s="1433" t="s">
        <v>398</v>
      </c>
      <c r="D601" s="1433"/>
      <c r="E601" s="1434" t="s">
        <v>4</v>
      </c>
      <c r="F601" s="1435">
        <f>N581</f>
        <v>2435.9802951143888</v>
      </c>
      <c r="G601" s="1435"/>
      <c r="H601" s="1435"/>
      <c r="I601" s="1435"/>
      <c r="J601" s="1434" t="s">
        <v>4</v>
      </c>
      <c r="K601" s="100">
        <f>+F601/F602</f>
        <v>67.160018235075697</v>
      </c>
      <c r="N601" s="458">
        <f>+F601/F602</f>
        <v>67.160018235075697</v>
      </c>
      <c r="O601" s="486">
        <f>N601/N602-1</f>
        <v>1.2822100692194272</v>
      </c>
      <c r="P601" s="790">
        <f>O601-'[1]Resumen de Calculo'!I51</f>
        <v>0.87528147716737958</v>
      </c>
    </row>
    <row r="602" spans="1:20" s="665" customFormat="1" x14ac:dyDescent="0.25">
      <c r="C602" s="1436" t="s">
        <v>353</v>
      </c>
      <c r="D602" s="1436"/>
      <c r="E602" s="1434"/>
      <c r="F602" s="1437">
        <f>+N586</f>
        <v>36.27128698190478</v>
      </c>
      <c r="G602" s="1437"/>
      <c r="H602" s="1437"/>
      <c r="I602" s="1437"/>
      <c r="J602" s="1434"/>
      <c r="K602" s="100"/>
      <c r="N602" s="742">
        <f>+K595</f>
        <v>29.427623311663897</v>
      </c>
    </row>
    <row r="603" spans="1:20" x14ac:dyDescent="0.25">
      <c r="N603" s="97">
        <f>+N601/N602-1</f>
        <v>1.2822100692194272</v>
      </c>
      <c r="P603" s="709"/>
      <c r="R603" s="665"/>
    </row>
    <row r="604" spans="1:20" x14ac:dyDescent="0.25">
      <c r="A604" s="779"/>
      <c r="B604" s="779"/>
      <c r="C604" s="716"/>
      <c r="D604" s="716"/>
      <c r="E604" s="716"/>
      <c r="F604" s="716"/>
      <c r="G604" s="696"/>
      <c r="H604" s="716"/>
      <c r="I604" s="715"/>
      <c r="J604" s="716"/>
      <c r="K604" s="459"/>
      <c r="L604" s="716"/>
      <c r="M604" s="716"/>
      <c r="N604" s="459"/>
    </row>
    <row r="606" spans="1:20" x14ac:dyDescent="0.25">
      <c r="F606" s="687"/>
      <c r="K606" s="418"/>
      <c r="Q606" s="314">
        <f>375*2/10</f>
        <v>75</v>
      </c>
    </row>
    <row r="608" spans="1:20" x14ac:dyDescent="0.25">
      <c r="G608" s="686"/>
      <c r="I608" s="735"/>
      <c r="J608" s="791"/>
      <c r="K608" s="686"/>
    </row>
    <row r="609" spans="5:13" x14ac:dyDescent="0.25">
      <c r="E609" s="783"/>
      <c r="F609" s="687"/>
      <c r="G609" s="787"/>
      <c r="I609" s="1250"/>
      <c r="K609" s="787"/>
    </row>
    <row r="610" spans="5:13" x14ac:dyDescent="0.25">
      <c r="F610" s="687"/>
      <c r="G610" s="437"/>
      <c r="I610" s="1250"/>
      <c r="K610" s="314"/>
    </row>
    <row r="611" spans="5:13" x14ac:dyDescent="0.25">
      <c r="F611" s="687"/>
      <c r="G611" s="787"/>
      <c r="K611" s="314"/>
    </row>
    <row r="612" spans="5:13" x14ac:dyDescent="0.25">
      <c r="F612" s="687"/>
      <c r="G612" s="787"/>
      <c r="I612" s="1251"/>
      <c r="K612" s="314"/>
    </row>
    <row r="613" spans="5:13" x14ac:dyDescent="0.25">
      <c r="G613" s="787"/>
      <c r="I613" s="1250"/>
      <c r="K613" s="314"/>
    </row>
    <row r="614" spans="5:13" ht="24.75" customHeight="1" x14ac:dyDescent="0.25">
      <c r="G614" s="314"/>
      <c r="K614" s="314"/>
    </row>
    <row r="615" spans="5:13" x14ac:dyDescent="0.25">
      <c r="F615" s="687"/>
      <c r="G615" s="787"/>
      <c r="I615" s="1250"/>
      <c r="K615" s="787"/>
      <c r="M615" s="792"/>
    </row>
    <row r="616" spans="5:13" x14ac:dyDescent="0.25">
      <c r="F616" s="665"/>
      <c r="G616" s="793"/>
      <c r="I616" s="793"/>
      <c r="J616" s="207"/>
      <c r="K616" s="793"/>
    </row>
    <row r="617" spans="5:13" x14ac:dyDescent="0.25">
      <c r="G617" s="314"/>
      <c r="I617" s="1252"/>
      <c r="K617" s="314"/>
    </row>
    <row r="618" spans="5:13" x14ac:dyDescent="0.25">
      <c r="G618" s="314"/>
      <c r="I618" s="466"/>
      <c r="K618" s="314"/>
    </row>
  </sheetData>
  <mergeCells count="183">
    <mergeCell ref="A5:A6"/>
    <mergeCell ref="C5:D5"/>
    <mergeCell ref="E5:E6"/>
    <mergeCell ref="F5:I5"/>
    <mergeCell ref="J5:J6"/>
    <mergeCell ref="K5:K6"/>
    <mergeCell ref="C6:D6"/>
    <mergeCell ref="F6:I6"/>
    <mergeCell ref="O51:O59"/>
    <mergeCell ref="C53:E53"/>
    <mergeCell ref="C54:E54"/>
    <mergeCell ref="C56:E56"/>
    <mergeCell ref="C57:E57"/>
    <mergeCell ref="A16:A17"/>
    <mergeCell ref="K16:K17"/>
    <mergeCell ref="C17:H17"/>
    <mergeCell ref="C30:E30"/>
    <mergeCell ref="G30:I30"/>
    <mergeCell ref="C31:E31"/>
    <mergeCell ref="G31:I31"/>
    <mergeCell ref="B16:B17"/>
    <mergeCell ref="A64:A65"/>
    <mergeCell ref="C64:D64"/>
    <mergeCell ref="E64:E65"/>
    <mergeCell ref="F64:I64"/>
    <mergeCell ref="J64:J65"/>
    <mergeCell ref="C65:D65"/>
    <mergeCell ref="F65:I65"/>
    <mergeCell ref="C40:G40"/>
    <mergeCell ref="C49:E49"/>
    <mergeCell ref="G49:H49"/>
    <mergeCell ref="C92:E92"/>
    <mergeCell ref="C97:E97"/>
    <mergeCell ref="G97:I97"/>
    <mergeCell ref="C102:D102"/>
    <mergeCell ref="F102:I102"/>
    <mergeCell ref="C104:D104"/>
    <mergeCell ref="A74:A75"/>
    <mergeCell ref="K74:K75"/>
    <mergeCell ref="C75:H75"/>
    <mergeCell ref="C82:E82"/>
    <mergeCell ref="G82:I82"/>
    <mergeCell ref="C83:E83"/>
    <mergeCell ref="G83:I83"/>
    <mergeCell ref="A109:A110"/>
    <mergeCell ref="C109:N110"/>
    <mergeCell ref="F116:I116"/>
    <mergeCell ref="A136:N137"/>
    <mergeCell ref="A141:A142"/>
    <mergeCell ref="C141:D141"/>
    <mergeCell ref="E141:E142"/>
    <mergeCell ref="F141:I141"/>
    <mergeCell ref="J141:J142"/>
    <mergeCell ref="K141:K142"/>
    <mergeCell ref="A170:A171"/>
    <mergeCell ref="C170:D170"/>
    <mergeCell ref="E170:E171"/>
    <mergeCell ref="F170:I170"/>
    <mergeCell ref="J170:J171"/>
    <mergeCell ref="C171:D171"/>
    <mergeCell ref="F171:I171"/>
    <mergeCell ref="C142:D142"/>
    <mergeCell ref="F142:I142"/>
    <mergeCell ref="C159:D159"/>
    <mergeCell ref="F159:I159"/>
    <mergeCell ref="C166:D166"/>
    <mergeCell ref="F166:I166"/>
    <mergeCell ref="C247:E247"/>
    <mergeCell ref="G247:J247"/>
    <mergeCell ref="C255:J255"/>
    <mergeCell ref="C273:N274"/>
    <mergeCell ref="C278:E278"/>
    <mergeCell ref="A286:A287"/>
    <mergeCell ref="C286:J287"/>
    <mergeCell ref="F187:J187"/>
    <mergeCell ref="C219:D219"/>
    <mergeCell ref="F219:I219"/>
    <mergeCell ref="C220:D220"/>
    <mergeCell ref="F220:I220"/>
    <mergeCell ref="F233:I233"/>
    <mergeCell ref="A303:A304"/>
    <mergeCell ref="C303:J304"/>
    <mergeCell ref="C306:E306"/>
    <mergeCell ref="G306:I306"/>
    <mergeCell ref="C311:D311"/>
    <mergeCell ref="F311:I311"/>
    <mergeCell ref="A289:A290"/>
    <mergeCell ref="C289:J290"/>
    <mergeCell ref="C293:F293"/>
    <mergeCell ref="G293:J293"/>
    <mergeCell ref="F326:J326"/>
    <mergeCell ref="A334:A335"/>
    <mergeCell ref="C334:D334"/>
    <mergeCell ref="E334:E335"/>
    <mergeCell ref="F334:I334"/>
    <mergeCell ref="J334:J335"/>
    <mergeCell ref="C335:D335"/>
    <mergeCell ref="F335:I335"/>
    <mergeCell ref="A316:A317"/>
    <mergeCell ref="C316:D316"/>
    <mergeCell ref="E316:E317"/>
    <mergeCell ref="F316:I316"/>
    <mergeCell ref="J316:J317"/>
    <mergeCell ref="C317:D317"/>
    <mergeCell ref="F317:I317"/>
    <mergeCell ref="C370:D370"/>
    <mergeCell ref="F370:I370"/>
    <mergeCell ref="C380:D380"/>
    <mergeCell ref="F380:I380"/>
    <mergeCell ref="A385:A386"/>
    <mergeCell ref="C385:D385"/>
    <mergeCell ref="E385:E386"/>
    <mergeCell ref="F385:I385"/>
    <mergeCell ref="C347:D347"/>
    <mergeCell ref="F347:I347"/>
    <mergeCell ref="C356:D356"/>
    <mergeCell ref="F356:I356"/>
    <mergeCell ref="C357:D357"/>
    <mergeCell ref="F357:I357"/>
    <mergeCell ref="J385:J386"/>
    <mergeCell ref="C386:D386"/>
    <mergeCell ref="F386:I386"/>
    <mergeCell ref="A401:A402"/>
    <mergeCell ref="C401:D401"/>
    <mergeCell ref="E401:E402"/>
    <mergeCell ref="F401:I401"/>
    <mergeCell ref="J401:J402"/>
    <mergeCell ref="C402:D402"/>
    <mergeCell ref="F402:I402"/>
    <mergeCell ref="C434:D434"/>
    <mergeCell ref="F434:I434"/>
    <mergeCell ref="F451:J451"/>
    <mergeCell ref="C464:F464"/>
    <mergeCell ref="G464:K464"/>
    <mergeCell ref="C483:F483"/>
    <mergeCell ref="G483:K483"/>
    <mergeCell ref="C418:E418"/>
    <mergeCell ref="G418:J418"/>
    <mergeCell ref="C425:D425"/>
    <mergeCell ref="F425:I425"/>
    <mergeCell ref="A430:N431"/>
    <mergeCell ref="A433:A434"/>
    <mergeCell ref="C433:D433"/>
    <mergeCell ref="E433:E434"/>
    <mergeCell ref="F433:I433"/>
    <mergeCell ref="J433:J434"/>
    <mergeCell ref="C502:F502"/>
    <mergeCell ref="H502:J502"/>
    <mergeCell ref="C508:D508"/>
    <mergeCell ref="F508:I508"/>
    <mergeCell ref="C515:D515"/>
    <mergeCell ref="E515:E516"/>
    <mergeCell ref="F515:I515"/>
    <mergeCell ref="J515:J516"/>
    <mergeCell ref="C516:D516"/>
    <mergeCell ref="F516:I516"/>
    <mergeCell ref="C553:D553"/>
    <mergeCell ref="C564:E564"/>
    <mergeCell ref="C571:E571"/>
    <mergeCell ref="G571:J571"/>
    <mergeCell ref="F574:J574"/>
    <mergeCell ref="C581:D581"/>
    <mergeCell ref="F581:I581"/>
    <mergeCell ref="C530:D530"/>
    <mergeCell ref="F530:I530"/>
    <mergeCell ref="F535:J535"/>
    <mergeCell ref="F540:J540"/>
    <mergeCell ref="F545:K545"/>
    <mergeCell ref="C552:E552"/>
    <mergeCell ref="G552:J552"/>
    <mergeCell ref="C601:D601"/>
    <mergeCell ref="E601:E602"/>
    <mergeCell ref="F601:I601"/>
    <mergeCell ref="J601:J602"/>
    <mergeCell ref="C602:D602"/>
    <mergeCell ref="F602:I602"/>
    <mergeCell ref="A586:A587"/>
    <mergeCell ref="C586:D586"/>
    <mergeCell ref="E586:E587"/>
    <mergeCell ref="F586:I586"/>
    <mergeCell ref="J586:J587"/>
    <mergeCell ref="C587:D587"/>
    <mergeCell ref="F587:I587"/>
  </mergeCells>
  <pageMargins left="0.23622047244094491" right="0.23622047244094491" top="1.1023622047244095" bottom="0.51181102362204722" header="0.35433070866141736" footer="0"/>
  <pageSetup scale="58" fitToHeight="100" orientation="landscape" r:id="rId1"/>
  <headerFooter alignWithMargins="0">
    <oddHeader>&amp;A</oddHeader>
    <oddFooter>&amp;CPAGINA &amp;P / &amp;N</oddFooter>
  </headerFooter>
  <rowBreaks count="9" manualBreakCount="9">
    <brk id="110" max="16383" man="1"/>
    <brk id="161" max="16383" man="1"/>
    <brk id="214" max="16383" man="1"/>
    <brk id="274" max="13" man="1"/>
    <brk id="308" max="16383" man="1"/>
    <brk id="362" max="13" man="1"/>
    <brk id="418" max="16383" man="1"/>
    <brk id="510" max="16383" man="1"/>
    <brk id="567" max="13" man="1"/>
  </rowBreaks>
  <colBreaks count="1" manualBreakCount="1">
    <brk id="15" max="1048575" man="1"/>
  </colBreaks>
  <drawing r:id="rId2"/>
  <legacyDrawingHF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K60"/>
  <sheetViews>
    <sheetView showGridLines="0" zoomScale="82" zoomScaleNormal="82" workbookViewId="0">
      <selection activeCell="I14" sqref="I14"/>
    </sheetView>
  </sheetViews>
  <sheetFormatPr baseColWidth="10" defaultRowHeight="13.2" x14ac:dyDescent="0.25"/>
  <cols>
    <col min="4" max="4" width="16.88671875" customWidth="1"/>
    <col min="6" max="6" width="14.6640625" customWidth="1"/>
    <col min="7" max="7" width="28.5546875" customWidth="1"/>
    <col min="8" max="8" width="6.5546875" customWidth="1"/>
    <col min="9" max="9" width="4.6640625" customWidth="1"/>
    <col min="10" max="10" width="4.33203125" customWidth="1"/>
    <col min="11" max="11" width="12.33203125" customWidth="1"/>
    <col min="12" max="12" width="4.33203125" customWidth="1"/>
    <col min="13" max="13" width="16" customWidth="1"/>
    <col min="23" max="23" width="2" customWidth="1"/>
    <col min="24" max="24" width="15.109375" customWidth="1"/>
    <col min="25" max="25" width="4.33203125" customWidth="1"/>
    <col min="33" max="33" width="19.33203125" customWidth="1"/>
    <col min="34" max="34" width="19.109375" customWidth="1"/>
    <col min="40" max="40" width="7.6640625" customWidth="1"/>
    <col min="41" max="41" width="8.88671875" style="799" customWidth="1"/>
    <col min="42" max="42" width="2.6640625" style="223" customWidth="1"/>
    <col min="45" max="45" width="4.88671875" customWidth="1"/>
    <col min="46" max="46" width="9" customWidth="1"/>
    <col min="51" max="51" width="29.6640625" customWidth="1"/>
    <col min="53" max="53" width="7" customWidth="1"/>
    <col min="56" max="56" width="9" customWidth="1"/>
    <col min="57" max="57" width="5.6640625" customWidth="1"/>
    <col min="58" max="58" width="2.5546875" hidden="1" customWidth="1"/>
    <col min="60" max="60" width="6.44140625" customWidth="1"/>
    <col min="61" max="61" width="0.33203125" customWidth="1"/>
    <col min="62" max="62" width="3.109375" customWidth="1"/>
    <col min="63" max="63" width="9.88671875" customWidth="1"/>
  </cols>
  <sheetData>
    <row r="3" spans="3:63" ht="13.8" thickBot="1" x14ac:dyDescent="0.3"/>
    <row r="4" spans="3:63" ht="27" customHeight="1" thickBot="1" x14ac:dyDescent="0.3">
      <c r="AC4" s="1487" t="s">
        <v>981</v>
      </c>
      <c r="AD4" s="1488"/>
      <c r="AE4" s="1488"/>
      <c r="AF4" s="1488"/>
      <c r="AG4" s="1488"/>
      <c r="AH4" s="1489"/>
      <c r="AL4" s="1500" t="s">
        <v>352</v>
      </c>
      <c r="AM4" s="1501"/>
      <c r="AN4" s="1501"/>
      <c r="AO4" s="1501"/>
      <c r="AP4" s="1501"/>
      <c r="AQ4" s="1501"/>
      <c r="AR4" s="1501"/>
      <c r="AS4" s="1501"/>
      <c r="AT4" s="1502"/>
      <c r="AW4" s="1327" t="s">
        <v>353</v>
      </c>
      <c r="AX4" s="1328" t="s">
        <v>4</v>
      </c>
      <c r="AY4" s="1329" t="s">
        <v>986</v>
      </c>
      <c r="BA4" s="1503" t="s">
        <v>148</v>
      </c>
      <c r="BB4" s="1504"/>
      <c r="BC4" s="1504"/>
      <c r="BD4" s="1504"/>
      <c r="BE4" s="1504"/>
      <c r="BF4" s="1504"/>
      <c r="BG4" s="1504"/>
      <c r="BH4" s="1504"/>
      <c r="BI4" s="1504"/>
      <c r="BJ4" s="1504"/>
      <c r="BK4" s="1505"/>
    </row>
    <row r="5" spans="3:63" ht="26.25" customHeight="1" thickBot="1" x14ac:dyDescent="0.3">
      <c r="AC5" s="1300"/>
      <c r="AD5" s="1301"/>
      <c r="AE5" s="1301"/>
      <c r="AF5" s="1301"/>
      <c r="AG5" s="1301"/>
      <c r="AH5" s="1299" t="s">
        <v>977</v>
      </c>
      <c r="AL5" s="1317"/>
      <c r="AM5" s="1318"/>
      <c r="AN5" s="1318"/>
      <c r="AO5" s="1318"/>
      <c r="AP5" s="1320"/>
      <c r="AQ5" s="1319"/>
      <c r="AR5" s="1318"/>
      <c r="AS5" s="1318"/>
      <c r="AT5" s="1267"/>
      <c r="BA5" s="1331"/>
      <c r="BB5" s="763"/>
      <c r="BC5" s="763"/>
      <c r="BD5" s="763"/>
      <c r="BE5" s="763"/>
      <c r="BF5" s="763"/>
      <c r="BG5" s="1238"/>
      <c r="BH5" s="763"/>
      <c r="BI5" s="763"/>
      <c r="BJ5" s="763"/>
      <c r="BK5" s="1313"/>
    </row>
    <row r="6" spans="3:63" ht="13.8" x14ac:dyDescent="0.25">
      <c r="AC6" s="1302"/>
      <c r="AD6" s="1303"/>
      <c r="AE6" s="1303"/>
      <c r="AF6" s="1303"/>
      <c r="AG6" s="1303"/>
      <c r="AH6" s="1304"/>
      <c r="AL6" s="1490" t="s">
        <v>354</v>
      </c>
      <c r="AM6" s="1433" t="s">
        <v>355</v>
      </c>
      <c r="AN6" s="1433"/>
      <c r="AO6" s="1238" t="s">
        <v>4</v>
      </c>
      <c r="AP6" s="1498">
        <f>'INFO SECRETARIA'!D42</f>
        <v>6886725643.698</v>
      </c>
      <c r="AQ6" s="1498"/>
      <c r="AR6" s="1498"/>
      <c r="AS6" s="1499" t="s">
        <v>4</v>
      </c>
      <c r="AT6" s="1325">
        <f>'Resumen de Calculo'!J41</f>
        <v>36.27128698190478</v>
      </c>
      <c r="BA6" s="1297" t="s">
        <v>154</v>
      </c>
      <c r="BB6" s="1457" t="s">
        <v>398</v>
      </c>
      <c r="BC6" s="1457"/>
      <c r="BD6" s="1457"/>
      <c r="BE6" s="1499" t="s">
        <v>4</v>
      </c>
      <c r="BF6" s="1435">
        <f>'Resumen de Calculo'!J39</f>
        <v>2435.9802951143888</v>
      </c>
      <c r="BG6" s="1435"/>
      <c r="BH6" s="1435"/>
      <c r="BI6" s="1435"/>
      <c r="BJ6" s="1499" t="s">
        <v>4</v>
      </c>
      <c r="BK6" s="1334">
        <f>+BF6/BF7</f>
        <v>67.160018235075697</v>
      </c>
    </row>
    <row r="7" spans="3:63" ht="13.8" thickBot="1" x14ac:dyDescent="0.3">
      <c r="N7" s="799"/>
      <c r="O7" s="799"/>
      <c r="P7" s="799"/>
      <c r="Q7" s="799"/>
      <c r="R7" s="799"/>
      <c r="S7" s="799"/>
      <c r="T7" s="799"/>
      <c r="U7" s="799"/>
      <c r="V7" s="799"/>
      <c r="W7" s="799"/>
      <c r="X7" s="799"/>
      <c r="Y7" s="799"/>
      <c r="Z7" s="799"/>
      <c r="AC7" s="1305" t="s">
        <v>1</v>
      </c>
      <c r="AD7" s="95"/>
      <c r="AE7" s="95"/>
      <c r="AF7" s="95"/>
      <c r="AG7" s="95"/>
      <c r="AH7" s="1306">
        <v>1254.4685715992809</v>
      </c>
      <c r="AL7" s="1490"/>
      <c r="AM7" s="1457" t="s">
        <v>361</v>
      </c>
      <c r="AN7" s="1457"/>
      <c r="AO7" s="1238"/>
      <c r="AP7" s="1439" t="str">
        <f>ROUND(+'Resumen de Calculo'!J65,0)&amp;" . "&amp;ROUND('Resumen de Calculo'!J67,4)</f>
        <v>6452004 . 29,4276</v>
      </c>
      <c r="AQ7" s="1439"/>
      <c r="AR7" s="1439"/>
      <c r="AS7" s="1499"/>
      <c r="AT7" s="1326"/>
      <c r="BA7" s="1331"/>
      <c r="BB7" s="1440" t="s">
        <v>353</v>
      </c>
      <c r="BC7" s="1440"/>
      <c r="BD7" s="1440"/>
      <c r="BE7" s="1499"/>
      <c r="BF7" s="1437">
        <f>'Resumen de Calculo'!J41</f>
        <v>36.27128698190478</v>
      </c>
      <c r="BG7" s="1437"/>
      <c r="BH7" s="1437"/>
      <c r="BI7" s="1437"/>
      <c r="BJ7" s="1499"/>
      <c r="BK7" s="1313"/>
    </row>
    <row r="8" spans="3:63" ht="13.8" thickBot="1" x14ac:dyDescent="0.3">
      <c r="C8" s="1265"/>
      <c r="D8" s="1266"/>
      <c r="E8" s="1266"/>
      <c r="F8" s="1266"/>
      <c r="G8" s="1266"/>
      <c r="H8" s="1266"/>
      <c r="I8" s="1266"/>
      <c r="J8" s="1266"/>
      <c r="K8" s="1266"/>
      <c r="L8" s="1267"/>
      <c r="N8" s="799"/>
      <c r="O8" s="1265"/>
      <c r="P8" s="1266"/>
      <c r="Q8" s="1266"/>
      <c r="R8" s="1266"/>
      <c r="S8" s="1266"/>
      <c r="T8" s="1266"/>
      <c r="U8" s="1266"/>
      <c r="V8" s="1266"/>
      <c r="W8" s="1266"/>
      <c r="X8" s="1266"/>
      <c r="Y8" s="1267"/>
      <c r="Z8" s="799"/>
      <c r="AC8" s="1307"/>
      <c r="AD8" s="1303"/>
      <c r="AE8" s="1303"/>
      <c r="AF8" s="1303"/>
      <c r="AG8" s="1303"/>
      <c r="AH8" s="1308"/>
      <c r="AL8" s="1321"/>
      <c r="AM8" s="1322"/>
      <c r="AN8" s="1322"/>
      <c r="AO8" s="1322"/>
      <c r="AP8" s="1324"/>
      <c r="AQ8" s="1323"/>
      <c r="AR8" s="1322"/>
      <c r="AS8" s="1322"/>
      <c r="AT8" s="1274"/>
      <c r="BA8" s="1321"/>
      <c r="BB8" s="1332"/>
      <c r="BC8" s="1322"/>
      <c r="BD8" s="1322"/>
      <c r="BE8" s="1322"/>
      <c r="BF8" s="1322"/>
      <c r="BG8" s="1323"/>
      <c r="BH8" s="1322"/>
      <c r="BI8" s="1324"/>
      <c r="BJ8" s="1322"/>
      <c r="BK8" s="1333"/>
    </row>
    <row r="9" spans="3:63" x14ac:dyDescent="0.25">
      <c r="C9" s="1255"/>
      <c r="D9" s="704"/>
      <c r="E9" s="704"/>
      <c r="F9" s="704"/>
      <c r="G9" s="704"/>
      <c r="H9" s="1231"/>
      <c r="I9" s="704"/>
      <c r="J9" s="704"/>
      <c r="K9" s="1256"/>
      <c r="L9" s="1254"/>
      <c r="N9" s="799"/>
      <c r="O9" s="1255"/>
      <c r="P9" s="704"/>
      <c r="Q9" s="704"/>
      <c r="R9" s="704"/>
      <c r="S9" s="704"/>
      <c r="T9" s="1231"/>
      <c r="U9" s="704"/>
      <c r="V9" s="731"/>
      <c r="W9" s="704"/>
      <c r="X9" s="1256"/>
      <c r="Y9" s="1254"/>
      <c r="Z9" s="799"/>
      <c r="AC9" s="1307" t="s">
        <v>3</v>
      </c>
      <c r="AD9" s="1303"/>
      <c r="AE9" s="1303"/>
      <c r="AF9" s="1303"/>
      <c r="AG9" s="1303"/>
      <c r="AH9" s="1309">
        <v>630.12422346837252</v>
      </c>
    </row>
    <row r="10" spans="3:63" x14ac:dyDescent="0.25">
      <c r="C10" s="1482" t="s">
        <v>195</v>
      </c>
      <c r="D10" s="731" t="str">
        <f>"Sueldo básico de convenio conductor guarda único c/ 10 años de antigüedad $950453 x1,1)"</f>
        <v>Sueldo básico de convenio conductor guarda único c/ 10 años de antigüedad $950453 x1,1)</v>
      </c>
      <c r="E10" s="704"/>
      <c r="F10" s="704"/>
      <c r="G10" s="704"/>
      <c r="H10" s="704"/>
      <c r="I10" s="704"/>
      <c r="J10" s="704"/>
      <c r="K10" s="1478">
        <v>5445.3036458333336</v>
      </c>
      <c r="L10" s="1254"/>
      <c r="N10" s="799"/>
      <c r="O10" s="1482" t="s">
        <v>204</v>
      </c>
      <c r="P10" s="731" t="str">
        <f>"Sueldo básico de convenio conductor guarda único c/ 10 años de antigüedad $950453 x1,1)"</f>
        <v>Sueldo básico de convenio conductor guarda único c/ 10 años de antigüedad $950453 x1,1)</v>
      </c>
      <c r="Q10" s="704"/>
      <c r="R10" s="704"/>
      <c r="S10" s="704"/>
      <c r="T10" s="704"/>
      <c r="U10" s="704"/>
      <c r="V10" s="731"/>
      <c r="W10" s="704"/>
      <c r="X10" s="1478">
        <v>5445.3036458333336</v>
      </c>
      <c r="Y10" s="1254"/>
      <c r="Z10" s="799"/>
      <c r="AC10" s="1307" t="s">
        <v>9</v>
      </c>
      <c r="AD10" s="1303"/>
      <c r="AE10" s="1303"/>
      <c r="AF10" s="1303"/>
      <c r="AG10" s="1303"/>
      <c r="AH10" s="1309">
        <v>17.175567413188688</v>
      </c>
    </row>
    <row r="11" spans="3:63" x14ac:dyDescent="0.25">
      <c r="C11" s="1482"/>
      <c r="D11" s="1483" t="s">
        <v>7</v>
      </c>
      <c r="E11" s="1483"/>
      <c r="F11" s="1483"/>
      <c r="G11" s="1483"/>
      <c r="H11" s="1483"/>
      <c r="I11" s="1483"/>
      <c r="J11" s="704"/>
      <c r="K11" s="1478"/>
      <c r="L11" s="1254"/>
      <c r="N11" s="799"/>
      <c r="O11" s="1482"/>
      <c r="P11" s="1483" t="s">
        <v>7</v>
      </c>
      <c r="Q11" s="1483"/>
      <c r="R11" s="1483"/>
      <c r="S11" s="1483"/>
      <c r="T11" s="1483"/>
      <c r="U11" s="1483"/>
      <c r="V11" s="1264"/>
      <c r="W11" s="704"/>
      <c r="X11" s="1478"/>
      <c r="Y11" s="1254"/>
      <c r="Z11" s="799"/>
      <c r="AC11" s="1307" t="s">
        <v>155</v>
      </c>
      <c r="AD11" s="1303"/>
      <c r="AE11" s="1303"/>
      <c r="AF11" s="1303"/>
      <c r="AG11" s="1303"/>
      <c r="AH11" s="1309">
        <v>224.87372701555609</v>
      </c>
    </row>
    <row r="12" spans="3:63" ht="20.25" customHeight="1" thickBot="1" x14ac:dyDescent="0.3">
      <c r="C12" s="1257"/>
      <c r="D12" s="1258"/>
      <c r="E12" s="1258"/>
      <c r="F12" s="1258"/>
      <c r="G12" s="1258"/>
      <c r="H12" s="1259"/>
      <c r="I12" s="1258"/>
      <c r="J12" s="1258"/>
      <c r="K12" s="1261"/>
      <c r="L12" s="1262"/>
      <c r="N12" s="799"/>
      <c r="O12" s="1257"/>
      <c r="P12" s="1258"/>
      <c r="Q12" s="1258"/>
      <c r="R12" s="1258"/>
      <c r="S12" s="1258"/>
      <c r="T12" s="1259"/>
      <c r="U12" s="1258"/>
      <c r="V12" s="1260"/>
      <c r="W12" s="1258"/>
      <c r="X12" s="1261"/>
      <c r="Y12" s="1262"/>
      <c r="Z12" s="799"/>
      <c r="AC12" s="1307" t="s">
        <v>20</v>
      </c>
      <c r="AD12" s="1303"/>
      <c r="AE12" s="1303"/>
      <c r="AF12" s="1303"/>
      <c r="AG12" s="1303"/>
      <c r="AH12" s="1309">
        <v>264.45346407837837</v>
      </c>
    </row>
    <row r="13" spans="3:63" x14ac:dyDescent="0.25">
      <c r="C13" s="1232"/>
      <c r="D13" s="704"/>
      <c r="E13" s="704"/>
      <c r="F13" s="704"/>
      <c r="G13" s="704"/>
      <c r="H13" s="1231"/>
      <c r="I13" s="704"/>
      <c r="J13" s="704"/>
      <c r="K13" s="1256"/>
      <c r="L13" s="704"/>
      <c r="N13" s="799"/>
      <c r="O13" s="1232"/>
      <c r="P13" s="704"/>
      <c r="Q13" s="704"/>
      <c r="R13" s="704"/>
      <c r="S13" s="704"/>
      <c r="T13" s="1231"/>
      <c r="U13" s="704"/>
      <c r="V13" s="731"/>
      <c r="W13" s="704"/>
      <c r="X13" s="1256"/>
      <c r="Y13" s="704"/>
      <c r="Z13" s="799"/>
      <c r="AC13" s="1307" t="s">
        <v>36</v>
      </c>
      <c r="AD13" s="1303"/>
      <c r="AE13" s="1303"/>
      <c r="AF13" s="1303"/>
      <c r="AG13" s="1303"/>
      <c r="AH13" s="1309">
        <v>21.708177517316567</v>
      </c>
    </row>
    <row r="14" spans="3:63" x14ac:dyDescent="0.25">
      <c r="AC14" s="1307" t="s">
        <v>228</v>
      </c>
      <c r="AD14" s="1303"/>
      <c r="AE14" s="1303"/>
      <c r="AF14" s="1303"/>
      <c r="AG14" s="1303"/>
      <c r="AH14" s="1309">
        <v>94.133188053023474</v>
      </c>
    </row>
    <row r="15" spans="3:63" x14ac:dyDescent="0.25">
      <c r="AC15" s="1310" t="s">
        <v>47</v>
      </c>
      <c r="AD15" s="1303"/>
      <c r="AE15" s="1303"/>
      <c r="AF15" s="1303"/>
      <c r="AG15" s="1303"/>
      <c r="AH15" s="1309">
        <v>2.0002240534452107</v>
      </c>
    </row>
    <row r="16" spans="3:63" x14ac:dyDescent="0.25">
      <c r="AC16" s="1307"/>
      <c r="AD16" s="1303"/>
      <c r="AE16" s="1303"/>
      <c r="AF16" s="1303"/>
      <c r="AG16" s="1303"/>
      <c r="AH16" s="1309"/>
    </row>
    <row r="17" spans="1:34" x14ac:dyDescent="0.25">
      <c r="AC17" s="1305" t="s">
        <v>156</v>
      </c>
      <c r="AD17" s="95"/>
      <c r="AE17" s="95"/>
      <c r="AF17" s="95"/>
      <c r="AG17" s="95"/>
      <c r="AH17" s="1306">
        <v>345.09954269566339</v>
      </c>
    </row>
    <row r="18" spans="1:34" x14ac:dyDescent="0.25">
      <c r="AC18" s="1307"/>
      <c r="AD18" s="1303"/>
      <c r="AE18" s="1303"/>
      <c r="AF18" s="1303"/>
      <c r="AG18" s="1303"/>
      <c r="AH18" s="1309"/>
    </row>
    <row r="19" spans="1:34" ht="13.8" thickBot="1" x14ac:dyDescent="0.3">
      <c r="AC19" s="1307" t="s">
        <v>58</v>
      </c>
      <c r="AD19" s="1303"/>
      <c r="AE19" s="1303"/>
      <c r="AF19" s="1303"/>
      <c r="AG19" s="1303"/>
      <c r="AH19" s="1309">
        <v>252.89733626373624</v>
      </c>
    </row>
    <row r="20" spans="1:34" x14ac:dyDescent="0.25">
      <c r="D20" s="216"/>
      <c r="E20" s="1265"/>
      <c r="F20" s="1266"/>
      <c r="G20" s="1266"/>
      <c r="H20" s="1266"/>
      <c r="I20" s="1266"/>
      <c r="J20" s="1266"/>
      <c r="K20" s="1266"/>
      <c r="L20" s="1267"/>
      <c r="AC20" s="1311" t="s">
        <v>157</v>
      </c>
      <c r="AD20" s="1312"/>
      <c r="AE20" s="1312"/>
      <c r="AF20" s="1312"/>
      <c r="AG20" s="1312"/>
      <c r="AH20" s="1309">
        <v>15.360669864172248</v>
      </c>
    </row>
    <row r="21" spans="1:34" x14ac:dyDescent="0.25">
      <c r="A21" s="1228"/>
      <c r="D21" s="216"/>
      <c r="E21" s="1485" t="s">
        <v>392</v>
      </c>
      <c r="F21" s="1486"/>
      <c r="G21" s="1486"/>
      <c r="H21" s="1486"/>
      <c r="I21" s="1486"/>
      <c r="J21" s="1486"/>
      <c r="K21" s="1486"/>
      <c r="L21" s="1270"/>
      <c r="M21" s="1232"/>
      <c r="N21" s="1232"/>
      <c r="AC21" s="1307" t="s">
        <v>60</v>
      </c>
      <c r="AD21" s="1303"/>
      <c r="AE21" s="1303"/>
      <c r="AF21" s="1303"/>
      <c r="AG21" s="1303"/>
      <c r="AH21" s="1309">
        <v>67.080790819171185</v>
      </c>
    </row>
    <row r="22" spans="1:34" ht="10.5" customHeight="1" x14ac:dyDescent="0.25">
      <c r="D22" s="216"/>
      <c r="E22" s="1291"/>
      <c r="F22" s="1230"/>
      <c r="G22" s="1230"/>
      <c r="H22" s="1230"/>
      <c r="I22" s="1230"/>
      <c r="J22" s="1230"/>
      <c r="K22" s="1230"/>
      <c r="L22" s="1270"/>
      <c r="M22" s="1232"/>
      <c r="N22" s="1232"/>
      <c r="AC22" s="1307" t="s">
        <v>65</v>
      </c>
      <c r="AD22" s="1303"/>
      <c r="AE22" s="1303"/>
      <c r="AF22" s="1303"/>
      <c r="AG22" s="1303"/>
      <c r="AH22" s="1309">
        <v>6.708079081917119</v>
      </c>
    </row>
    <row r="23" spans="1:34" x14ac:dyDescent="0.25">
      <c r="D23" s="216"/>
      <c r="E23" s="1291"/>
      <c r="F23" s="1230" t="s">
        <v>387</v>
      </c>
      <c r="G23" s="1477" t="s">
        <v>388</v>
      </c>
      <c r="H23" s="1477"/>
      <c r="I23" s="1477"/>
      <c r="J23" s="1231"/>
      <c r="K23" s="1275">
        <v>41.279378893524125</v>
      </c>
      <c r="L23" s="1271"/>
      <c r="M23" s="704"/>
      <c r="N23" s="704"/>
      <c r="AC23" s="1307" t="s">
        <v>67</v>
      </c>
      <c r="AD23" s="1303"/>
      <c r="AE23" s="1303"/>
      <c r="AF23" s="1303"/>
      <c r="AG23" s="1303"/>
      <c r="AH23" s="1309">
        <v>3.0526666666666666</v>
      </c>
    </row>
    <row r="24" spans="1:34" x14ac:dyDescent="0.25">
      <c r="D24" s="216"/>
      <c r="E24" s="1291"/>
      <c r="F24" s="1230"/>
      <c r="G24" s="1477" t="s">
        <v>329</v>
      </c>
      <c r="H24" s="1477"/>
      <c r="I24" s="1477"/>
      <c r="J24" s="1231"/>
      <c r="K24" s="1276"/>
      <c r="L24" s="1271"/>
      <c r="M24" s="704"/>
      <c r="N24" s="704"/>
      <c r="AC24" s="1307"/>
      <c r="AD24" s="1303"/>
      <c r="AE24" s="1303"/>
      <c r="AF24" s="1303"/>
      <c r="AG24" s="1303"/>
      <c r="AH24" s="1309"/>
    </row>
    <row r="25" spans="1:34" x14ac:dyDescent="0.25">
      <c r="D25" s="216"/>
      <c r="E25" s="1291"/>
      <c r="F25" s="1230"/>
      <c r="G25" s="704"/>
      <c r="H25" s="704"/>
      <c r="I25" s="704"/>
      <c r="J25" s="1231"/>
      <c r="K25" s="1276"/>
      <c r="L25" s="1271"/>
      <c r="M25" s="704"/>
      <c r="N25" s="704"/>
      <c r="AC25" s="1305" t="s">
        <v>75</v>
      </c>
      <c r="AD25" s="95"/>
      <c r="AE25" s="95"/>
      <c r="AF25" s="95"/>
      <c r="AG25" s="95"/>
      <c r="AH25" s="1306">
        <v>531.48621825806151</v>
      </c>
    </row>
    <row r="26" spans="1:34" x14ac:dyDescent="0.25">
      <c r="D26" s="216"/>
      <c r="E26" s="1291"/>
      <c r="F26" s="1230" t="s">
        <v>389</v>
      </c>
      <c r="G26" s="1477" t="s">
        <v>390</v>
      </c>
      <c r="H26" s="1477"/>
      <c r="I26" s="1477"/>
      <c r="J26" s="1231"/>
      <c r="K26" s="1275">
        <v>59.620276581545035</v>
      </c>
      <c r="L26" s="1271"/>
      <c r="M26" s="704"/>
      <c r="N26" s="704"/>
      <c r="AC26" s="1307"/>
      <c r="AD26" s="1303"/>
      <c r="AE26" s="1303"/>
      <c r="AF26" s="1303"/>
      <c r="AG26" s="1303"/>
      <c r="AH26" s="1309"/>
    </row>
    <row r="27" spans="1:34" x14ac:dyDescent="0.25">
      <c r="D27" s="216"/>
      <c r="E27" s="1291"/>
      <c r="F27" s="1230"/>
      <c r="G27" s="1477" t="s">
        <v>391</v>
      </c>
      <c r="H27" s="1477"/>
      <c r="I27" s="1477"/>
      <c r="J27" s="1231"/>
      <c r="K27" s="704"/>
      <c r="L27" s="1271"/>
      <c r="M27" s="704"/>
      <c r="N27" s="704"/>
      <c r="AC27" s="1307" t="s">
        <v>82</v>
      </c>
      <c r="AD27" s="1303"/>
      <c r="AE27" s="1303"/>
      <c r="AF27" s="1303"/>
      <c r="AG27" s="1303"/>
      <c r="AH27" s="1309">
        <v>210.59678364121709</v>
      </c>
    </row>
    <row r="28" spans="1:34" ht="13.8" thickBot="1" x14ac:dyDescent="0.3">
      <c r="D28" s="216"/>
      <c r="E28" s="1272"/>
      <c r="F28" s="1273"/>
      <c r="G28" s="1273"/>
      <c r="H28" s="1273"/>
      <c r="I28" s="1273"/>
      <c r="J28" s="1273"/>
      <c r="K28" s="1273"/>
      <c r="L28" s="1274"/>
      <c r="AC28" s="1311" t="s">
        <v>162</v>
      </c>
      <c r="AD28" s="1312"/>
      <c r="AE28" s="1312"/>
      <c r="AF28" s="1312"/>
      <c r="AG28" s="1312"/>
      <c r="AH28" s="1309">
        <v>94.768552638547689</v>
      </c>
    </row>
    <row r="29" spans="1:34" x14ac:dyDescent="0.25">
      <c r="AC29" s="1307" t="s">
        <v>90</v>
      </c>
      <c r="AD29" s="1303"/>
      <c r="AE29" s="1303"/>
      <c r="AF29" s="1303"/>
      <c r="AG29" s="1303"/>
      <c r="AH29" s="1309">
        <v>210.59678364121709</v>
      </c>
    </row>
    <row r="30" spans="1:34" x14ac:dyDescent="0.25">
      <c r="AC30" s="1307" t="s">
        <v>95</v>
      </c>
      <c r="AD30" s="1303"/>
      <c r="AE30" s="1303"/>
      <c r="AF30" s="1303"/>
      <c r="AG30" s="1303"/>
      <c r="AH30" s="1309">
        <v>15.524098337079613</v>
      </c>
    </row>
    <row r="31" spans="1:34" x14ac:dyDescent="0.25">
      <c r="AC31" s="1307"/>
      <c r="AD31" s="1303"/>
      <c r="AE31" s="1303"/>
      <c r="AF31" s="1303"/>
      <c r="AG31" s="1303"/>
      <c r="AH31" s="1309"/>
    </row>
    <row r="32" spans="1:34" x14ac:dyDescent="0.25">
      <c r="AC32" s="1305" t="s">
        <v>158</v>
      </c>
      <c r="AD32" s="95"/>
      <c r="AE32" s="95"/>
      <c r="AF32" s="95"/>
      <c r="AG32" s="95"/>
      <c r="AH32" s="1306">
        <v>304.5141771444209</v>
      </c>
    </row>
    <row r="33" spans="3:34" x14ac:dyDescent="0.25">
      <c r="AC33" s="1307"/>
      <c r="AD33" s="1303"/>
      <c r="AE33" s="1303"/>
      <c r="AF33" s="1303"/>
      <c r="AG33" s="1303"/>
      <c r="AH33" s="1309"/>
    </row>
    <row r="34" spans="3:34" x14ac:dyDescent="0.25">
      <c r="D34" s="627"/>
      <c r="E34" s="619"/>
      <c r="F34" s="619"/>
      <c r="G34" s="619"/>
      <c r="N34" s="619"/>
      <c r="O34" s="619"/>
      <c r="P34" s="619"/>
      <c r="Q34" s="619"/>
      <c r="R34" s="619"/>
      <c r="AC34" s="1307" t="s">
        <v>159</v>
      </c>
      <c r="AD34" s="1303"/>
      <c r="AE34" s="1303"/>
      <c r="AF34" s="1303"/>
      <c r="AG34" s="1303"/>
      <c r="AH34" s="1309">
        <v>4.4721816523758635</v>
      </c>
    </row>
    <row r="35" spans="3:34" ht="15" customHeight="1" thickBot="1" x14ac:dyDescent="0.3">
      <c r="D35" s="799"/>
      <c r="E35" s="799"/>
      <c r="F35" s="799"/>
      <c r="G35" s="799"/>
      <c r="H35" s="799"/>
      <c r="N35" s="619"/>
      <c r="O35" s="1491"/>
      <c r="P35" s="1491"/>
      <c r="Q35" s="1491"/>
      <c r="R35" s="1283"/>
      <c r="AC35" s="1311" t="s">
        <v>160</v>
      </c>
      <c r="AD35" s="1312"/>
      <c r="AE35" s="1312"/>
      <c r="AF35" s="1312"/>
      <c r="AG35" s="1312"/>
      <c r="AH35" s="1309">
        <v>9.4768552638547696</v>
      </c>
    </row>
    <row r="36" spans="3:34" ht="14.4" x14ac:dyDescent="0.25">
      <c r="D36" s="799"/>
      <c r="E36" s="1492" t="s">
        <v>973</v>
      </c>
      <c r="F36" s="1493"/>
      <c r="G36" s="1494"/>
      <c r="H36" s="1277"/>
      <c r="N36" s="619"/>
      <c r="O36" s="1491"/>
      <c r="P36" s="1491"/>
      <c r="Q36" s="1491"/>
      <c r="R36" s="1283"/>
      <c r="AC36" s="1311" t="s">
        <v>161</v>
      </c>
      <c r="AD36" s="1312"/>
      <c r="AE36" s="1312"/>
      <c r="AF36" s="1312"/>
      <c r="AG36" s="1312"/>
      <c r="AH36" s="1309">
        <v>4.4888504118348935</v>
      </c>
    </row>
    <row r="37" spans="3:34" ht="15" thickBot="1" x14ac:dyDescent="0.3">
      <c r="D37" s="799"/>
      <c r="E37" s="1495"/>
      <c r="F37" s="1496"/>
      <c r="G37" s="1497"/>
      <c r="H37" s="1277"/>
      <c r="N37" s="619"/>
      <c r="O37" s="1284"/>
      <c r="P37" s="1284"/>
      <c r="Q37" s="1284"/>
      <c r="R37" s="1283"/>
      <c r="AC37" s="1311" t="s">
        <v>132</v>
      </c>
      <c r="AD37" s="1312"/>
      <c r="AE37" s="1312"/>
      <c r="AF37" s="1312"/>
      <c r="AG37" s="1312"/>
      <c r="AH37" s="1309">
        <v>64.484766596432138</v>
      </c>
    </row>
    <row r="38" spans="3:34" ht="15" thickBot="1" x14ac:dyDescent="0.3">
      <c r="D38" s="799"/>
      <c r="E38" s="1287" t="s">
        <v>974</v>
      </c>
      <c r="F38" s="1278" t="s">
        <v>470</v>
      </c>
      <c r="G38" s="1279" t="s">
        <v>971</v>
      </c>
      <c r="H38" s="1277"/>
      <c r="N38" s="619"/>
      <c r="O38" s="1285"/>
      <c r="P38" s="1285"/>
      <c r="Q38" s="1285"/>
      <c r="R38" s="1283"/>
      <c r="AC38" s="1311" t="s">
        <v>135</v>
      </c>
      <c r="AD38" s="1312"/>
      <c r="AE38" s="1312"/>
      <c r="AF38" s="1312"/>
      <c r="AG38" s="1312"/>
      <c r="AH38" s="1309">
        <v>221.39769864775036</v>
      </c>
    </row>
    <row r="39" spans="3:34" ht="27.75" customHeight="1" thickBot="1" x14ac:dyDescent="0.3">
      <c r="D39" s="799"/>
      <c r="E39" s="1286">
        <v>23</v>
      </c>
      <c r="F39" s="1280" t="s">
        <v>898</v>
      </c>
      <c r="G39" s="1281" t="s">
        <v>972</v>
      </c>
      <c r="H39" s="1277"/>
      <c r="N39" s="619"/>
      <c r="O39" s="1285"/>
      <c r="P39" s="1285"/>
      <c r="Q39" s="1285"/>
      <c r="R39" s="1283"/>
      <c r="AC39" s="1307" t="s">
        <v>140</v>
      </c>
      <c r="AD39" s="1303"/>
      <c r="AE39" s="1303"/>
      <c r="AF39" s="1303"/>
      <c r="AG39" s="1303"/>
      <c r="AH39" s="1309">
        <v>0.19382457217287735</v>
      </c>
    </row>
    <row r="40" spans="3:34" ht="23.25" customHeight="1" thickBot="1" x14ac:dyDescent="0.3">
      <c r="D40" s="799"/>
      <c r="E40" s="1288">
        <v>54</v>
      </c>
      <c r="F40" s="1289" t="s">
        <v>436</v>
      </c>
      <c r="G40" s="1290"/>
      <c r="H40" s="1277"/>
      <c r="N40" s="619"/>
      <c r="O40" s="619"/>
      <c r="P40" s="619"/>
      <c r="Q40" s="619"/>
      <c r="R40" s="619"/>
      <c r="AC40" s="1305" t="s">
        <v>150</v>
      </c>
      <c r="AD40" s="95"/>
      <c r="AE40" s="95"/>
      <c r="AF40" s="95"/>
      <c r="AG40" s="95"/>
      <c r="AH40" s="1306">
        <v>2435.5685096974266</v>
      </c>
    </row>
    <row r="41" spans="3:34" x14ac:dyDescent="0.25">
      <c r="D41" s="799"/>
      <c r="E41" s="799"/>
      <c r="F41" s="799"/>
      <c r="G41" s="799"/>
      <c r="H41" s="799"/>
      <c r="N41" s="619"/>
      <c r="O41" s="619"/>
      <c r="P41" s="619"/>
      <c r="Q41" s="619"/>
      <c r="R41" s="619"/>
      <c r="AC41" s="1302"/>
      <c r="AD41" s="1303"/>
      <c r="AE41" s="1303"/>
      <c r="AF41" s="1303"/>
      <c r="AG41" s="1303"/>
      <c r="AH41" s="1313"/>
    </row>
    <row r="42" spans="3:34" x14ac:dyDescent="0.25">
      <c r="D42" s="799"/>
      <c r="E42" s="799"/>
      <c r="F42" s="799"/>
      <c r="G42" s="799"/>
      <c r="H42" s="799"/>
      <c r="AC42" s="1305" t="s">
        <v>359</v>
      </c>
      <c r="AD42" s="95"/>
      <c r="AE42" s="95"/>
      <c r="AF42" s="95"/>
      <c r="AG42" s="95"/>
      <c r="AH42" s="1306">
        <v>34.683483168867305</v>
      </c>
    </row>
    <row r="43" spans="3:34" ht="14.4" thickBot="1" x14ac:dyDescent="0.35">
      <c r="D43" s="901"/>
      <c r="E43" s="901"/>
      <c r="F43" s="901"/>
      <c r="G43" s="901"/>
      <c r="AC43" s="1307"/>
      <c r="AD43" s="1303"/>
      <c r="AE43" s="1303"/>
      <c r="AF43" s="1303"/>
      <c r="AG43" s="1303"/>
      <c r="AH43" s="1308"/>
    </row>
    <row r="44" spans="3:34" ht="17.399999999999999" thickBot="1" x14ac:dyDescent="0.35">
      <c r="D44" s="1292"/>
      <c r="E44" s="1293"/>
      <c r="F44" s="1293"/>
      <c r="G44" s="1293"/>
      <c r="H44" s="1266"/>
      <c r="I44" s="1266"/>
      <c r="J44" s="1266"/>
      <c r="K44" s="1266"/>
      <c r="L44" s="1267"/>
      <c r="AC44" s="1314" t="s">
        <v>366</v>
      </c>
      <c r="AD44" s="1315"/>
      <c r="AE44" s="1315"/>
      <c r="AF44" s="1315"/>
      <c r="AG44" s="1315"/>
      <c r="AH44" s="1316">
        <v>70.222719495591178</v>
      </c>
    </row>
    <row r="45" spans="3:34" x14ac:dyDescent="0.25">
      <c r="C45" s="1228"/>
      <c r="D45" s="1291" t="s">
        <v>210</v>
      </c>
      <c r="E45" s="731" t="s">
        <v>686</v>
      </c>
      <c r="F45" s="704"/>
      <c r="G45" s="704"/>
      <c r="H45" s="704"/>
      <c r="I45" s="1231"/>
      <c r="J45" s="704"/>
      <c r="K45" s="1268">
        <v>3</v>
      </c>
      <c r="L45" s="1254"/>
      <c r="M45" s="1253"/>
      <c r="AC45" s="30"/>
      <c r="AD45" s="30"/>
      <c r="AE45" s="30"/>
      <c r="AF45" s="30"/>
      <c r="AG45" s="30"/>
      <c r="AH45" s="463"/>
    </row>
    <row r="46" spans="3:34" ht="13.8" x14ac:dyDescent="0.3">
      <c r="D46" s="1269"/>
      <c r="E46" s="901"/>
      <c r="F46" s="901"/>
      <c r="G46" s="901"/>
      <c r="H46" s="216"/>
      <c r="I46" s="216"/>
      <c r="J46" s="216"/>
      <c r="K46" s="216"/>
      <c r="L46" s="1294"/>
      <c r="M46" s="1025"/>
      <c r="AC46" s="91"/>
      <c r="AD46" s="30"/>
      <c r="AE46" s="30"/>
      <c r="AF46" s="30"/>
      <c r="AG46" s="30"/>
      <c r="AH46" s="420"/>
    </row>
    <row r="47" spans="3:34" ht="13.8" x14ac:dyDescent="0.3">
      <c r="D47" s="1269"/>
      <c r="E47" s="901"/>
      <c r="F47" s="901"/>
      <c r="G47" s="901"/>
      <c r="H47" s="216"/>
      <c r="I47" s="216"/>
      <c r="J47" s="216"/>
      <c r="K47" s="216"/>
      <c r="L47" s="1294"/>
      <c r="M47" s="1025"/>
      <c r="AC47" s="30"/>
      <c r="AD47" s="30"/>
      <c r="AE47" s="30"/>
      <c r="AF47" s="30"/>
      <c r="AG47" s="30"/>
      <c r="AH47" s="463"/>
    </row>
    <row r="48" spans="3:34" x14ac:dyDescent="0.25">
      <c r="C48" s="1228"/>
      <c r="D48" s="1291" t="s">
        <v>199</v>
      </c>
      <c r="E48" s="731" t="s">
        <v>975</v>
      </c>
      <c r="F48" s="704"/>
      <c r="G48" s="704"/>
      <c r="H48" s="704"/>
      <c r="I48" s="1231"/>
      <c r="J48" s="704"/>
      <c r="K48" s="1268">
        <v>2.5</v>
      </c>
      <c r="L48" s="1254"/>
      <c r="M48" s="1253"/>
      <c r="AC48" s="30" t="s">
        <v>356</v>
      </c>
      <c r="AD48" s="30"/>
      <c r="AE48" s="30"/>
      <c r="AF48" s="30"/>
      <c r="AG48" s="30"/>
      <c r="AH48" s="422">
        <v>77.596105042628253</v>
      </c>
    </row>
    <row r="49" spans="4:34" ht="14.4" thickBot="1" x14ac:dyDescent="0.35">
      <c r="D49" s="1295"/>
      <c r="E49" s="1296"/>
      <c r="F49" s="1296"/>
      <c r="G49" s="1296"/>
      <c r="H49" s="1273"/>
      <c r="I49" s="1273"/>
      <c r="J49" s="1273"/>
      <c r="K49" s="1273"/>
      <c r="L49" s="1274"/>
      <c r="M49" s="1025"/>
      <c r="AC49" s="30"/>
      <c r="AD49" s="30"/>
      <c r="AE49" s="30"/>
      <c r="AF49" s="30"/>
      <c r="AG49" s="30"/>
      <c r="AH49" s="464"/>
    </row>
    <row r="50" spans="4:34" ht="13.8" x14ac:dyDescent="0.3">
      <c r="D50" s="619"/>
      <c r="E50" s="901"/>
      <c r="F50" s="901"/>
      <c r="G50" s="901"/>
      <c r="M50" s="1025"/>
      <c r="AC50" s="30" t="s">
        <v>362</v>
      </c>
      <c r="AD50" s="30"/>
      <c r="AE50" s="30"/>
      <c r="AF50" s="30"/>
      <c r="AG50" s="30"/>
      <c r="AH50" s="422">
        <v>29.427623311663897</v>
      </c>
    </row>
    <row r="51" spans="4:34" ht="14.4" thickBot="1" x14ac:dyDescent="0.35">
      <c r="D51" s="619"/>
      <c r="E51" s="901"/>
      <c r="F51" s="901"/>
      <c r="G51" s="901"/>
      <c r="AC51" s="30"/>
      <c r="AD51" s="30"/>
      <c r="AE51" s="30"/>
      <c r="AF51" s="30"/>
      <c r="AG51" s="30"/>
      <c r="AH51" s="463"/>
    </row>
    <row r="52" spans="4:34" ht="18" thickBot="1" x14ac:dyDescent="0.35">
      <c r="D52" s="1282"/>
      <c r="E52" s="901"/>
      <c r="F52" s="901"/>
      <c r="G52" s="901"/>
      <c r="AC52" s="390" t="s">
        <v>372</v>
      </c>
      <c r="AD52" s="391"/>
      <c r="AE52" s="391"/>
      <c r="AF52" s="391"/>
      <c r="AG52" s="391"/>
      <c r="AH52" s="423">
        <v>1.3862857952160135</v>
      </c>
    </row>
    <row r="54" spans="4:34" ht="13.8" thickBot="1" x14ac:dyDescent="0.3"/>
    <row r="55" spans="4:34" x14ac:dyDescent="0.25">
      <c r="D55" s="1265"/>
      <c r="E55" s="1266"/>
      <c r="F55" s="1266"/>
      <c r="G55" s="1266"/>
      <c r="H55" s="1266"/>
      <c r="I55" s="1266"/>
      <c r="J55" s="1266"/>
      <c r="K55" s="1266"/>
      <c r="L55" s="1267"/>
    </row>
    <row r="56" spans="4:34" x14ac:dyDescent="0.25">
      <c r="D56" s="1297" t="s">
        <v>329</v>
      </c>
      <c r="E56" s="718" t="s">
        <v>216</v>
      </c>
      <c r="F56" s="718"/>
      <c r="G56" s="767"/>
      <c r="H56" s="767"/>
      <c r="I56" s="767"/>
      <c r="J56" s="1234"/>
      <c r="K56" s="1275">
        <v>6751.3489657597747</v>
      </c>
      <c r="L56" s="1298"/>
      <c r="M56" s="314"/>
      <c r="N56" s="1253"/>
    </row>
    <row r="57" spans="4:34" x14ac:dyDescent="0.25">
      <c r="D57" s="1269"/>
      <c r="E57" s="216"/>
      <c r="F57" s="216"/>
      <c r="G57" s="216"/>
      <c r="H57" s="216"/>
      <c r="I57" s="216"/>
      <c r="J57" s="216"/>
      <c r="K57" s="216"/>
      <c r="L57" s="1294"/>
    </row>
    <row r="58" spans="4:34" x14ac:dyDescent="0.25">
      <c r="D58" s="1269"/>
      <c r="E58" s="216"/>
      <c r="F58" s="216"/>
      <c r="G58" s="216"/>
      <c r="H58" s="216"/>
      <c r="I58" s="216"/>
      <c r="J58" s="216"/>
      <c r="K58" s="216"/>
      <c r="L58" s="1294"/>
    </row>
    <row r="59" spans="4:34" x14ac:dyDescent="0.25">
      <c r="D59" s="1297" t="s">
        <v>218</v>
      </c>
      <c r="E59" s="1484" t="s">
        <v>209</v>
      </c>
      <c r="F59" s="1484"/>
      <c r="G59" s="1484"/>
      <c r="H59" s="767"/>
      <c r="I59" s="767"/>
      <c r="J59" s="216"/>
      <c r="K59" s="1275">
        <v>7303.4919421153054</v>
      </c>
      <c r="L59" s="1294"/>
    </row>
    <row r="60" spans="4:34" ht="13.8" thickBot="1" x14ac:dyDescent="0.3">
      <c r="D60" s="1272"/>
      <c r="E60" s="1273"/>
      <c r="F60" s="1273"/>
      <c r="G60" s="1273"/>
      <c r="H60" s="1273"/>
      <c r="I60" s="1273"/>
      <c r="J60" s="1273"/>
      <c r="K60" s="1273"/>
      <c r="L60" s="1274"/>
    </row>
  </sheetData>
  <mergeCells count="29">
    <mergeCell ref="BA4:BK4"/>
    <mergeCell ref="BE6:BE7"/>
    <mergeCell ref="BF6:BI6"/>
    <mergeCell ref="BJ6:BJ7"/>
    <mergeCell ref="BF7:BI7"/>
    <mergeCell ref="BB6:BD6"/>
    <mergeCell ref="BB7:BD7"/>
    <mergeCell ref="AP6:AR6"/>
    <mergeCell ref="AS6:AS7"/>
    <mergeCell ref="AM7:AN7"/>
    <mergeCell ref="AP7:AR7"/>
    <mergeCell ref="AL4:AT4"/>
    <mergeCell ref="AC4:AH4"/>
    <mergeCell ref="AL6:AL7"/>
    <mergeCell ref="AM6:AN6"/>
    <mergeCell ref="O35:Q36"/>
    <mergeCell ref="E36:G37"/>
    <mergeCell ref="X10:X11"/>
    <mergeCell ref="P11:U11"/>
    <mergeCell ref="G23:I23"/>
    <mergeCell ref="G24:I24"/>
    <mergeCell ref="G26:I26"/>
    <mergeCell ref="E21:K21"/>
    <mergeCell ref="C10:C11"/>
    <mergeCell ref="K10:K11"/>
    <mergeCell ref="D11:I11"/>
    <mergeCell ref="O10:O11"/>
    <mergeCell ref="E59:G59"/>
    <mergeCell ref="G27:I27"/>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Z101"/>
  <sheetViews>
    <sheetView showGridLines="0" tabSelected="1" topLeftCell="A52" zoomScale="75" zoomScaleNormal="75" workbookViewId="0">
      <selection activeCell="F68" sqref="F68"/>
    </sheetView>
  </sheetViews>
  <sheetFormatPr baseColWidth="10" defaultRowHeight="13.2" x14ac:dyDescent="0.25"/>
  <cols>
    <col min="1" max="1" width="11.44140625" style="4" customWidth="1"/>
    <col min="3" max="3" width="10.88671875" customWidth="1"/>
    <col min="4" max="4" width="17.44140625" bestFit="1" customWidth="1"/>
    <col min="6" max="6" width="17.6640625" bestFit="1" customWidth="1"/>
    <col min="8" max="8" width="11.109375" customWidth="1"/>
    <col min="9" max="9" width="27.88671875" customWidth="1"/>
    <col min="10" max="10" width="22.88671875" style="10" customWidth="1"/>
    <col min="11" max="11" width="17.44140625" style="332" hidden="1" customWidth="1"/>
    <col min="12" max="12" width="8" hidden="1" customWidth="1"/>
    <col min="13" max="13" width="18.109375" hidden="1" customWidth="1"/>
    <col min="14" max="14" width="8.109375" hidden="1" customWidth="1"/>
    <col min="15" max="15" width="26.88671875" style="10" customWidth="1"/>
    <col min="16" max="16" width="15.6640625" style="13" customWidth="1"/>
    <col min="17" max="17" width="26.88671875" style="10" customWidth="1"/>
    <col min="18" max="18" width="21.88671875" style="10" customWidth="1"/>
    <col min="20" max="20" width="18" bestFit="1" customWidth="1"/>
    <col min="21" max="21" width="23.109375" bestFit="1" customWidth="1"/>
    <col min="22" max="22" width="19.109375" bestFit="1" customWidth="1"/>
    <col min="24" max="25" width="16.6640625" bestFit="1" customWidth="1"/>
    <col min="26" max="26" width="17.44140625" bestFit="1" customWidth="1"/>
  </cols>
  <sheetData>
    <row r="1" spans="1:18" s="28" customFormat="1" ht="21" customHeight="1" x14ac:dyDescent="0.25">
      <c r="A1" s="122" t="s">
        <v>384</v>
      </c>
      <c r="B1" s="123"/>
      <c r="C1" s="123"/>
      <c r="D1" s="123"/>
      <c r="E1" s="123"/>
      <c r="F1" s="123"/>
      <c r="G1" s="123"/>
      <c r="H1" s="123"/>
      <c r="I1" s="123"/>
      <c r="J1" s="124"/>
      <c r="K1" s="330"/>
      <c r="M1" s="124" t="s">
        <v>620</v>
      </c>
      <c r="O1" s="496" t="s">
        <v>396</v>
      </c>
      <c r="P1" s="605"/>
      <c r="Q1" s="496" t="s">
        <v>396</v>
      </c>
      <c r="R1" s="605"/>
    </row>
    <row r="2" spans="1:18" s="29" customFormat="1" ht="25.5" customHeight="1" thickBot="1" x14ac:dyDescent="0.3">
      <c r="A2" s="31" t="s">
        <v>172</v>
      </c>
      <c r="B2" s="1510" t="s">
        <v>173</v>
      </c>
      <c r="C2" s="1511"/>
      <c r="D2" s="1511"/>
      <c r="E2" s="1511"/>
      <c r="F2" s="1511"/>
      <c r="G2" s="1511"/>
      <c r="H2" s="1511"/>
      <c r="I2" s="1512"/>
      <c r="J2" s="875" t="s">
        <v>699</v>
      </c>
      <c r="K2" s="417" t="s">
        <v>701</v>
      </c>
      <c r="L2" s="219" t="s">
        <v>556</v>
      </c>
      <c r="M2" s="197" t="s">
        <v>459</v>
      </c>
      <c r="N2" s="219" t="s">
        <v>557</v>
      </c>
      <c r="O2" s="812" t="s">
        <v>979</v>
      </c>
      <c r="P2" s="606" t="s">
        <v>839</v>
      </c>
      <c r="Q2" s="812" t="s">
        <v>965</v>
      </c>
      <c r="R2" s="606"/>
    </row>
    <row r="3" spans="1:18" s="30" customFormat="1" ht="18" customHeight="1" x14ac:dyDescent="0.25">
      <c r="A3" s="188" t="s">
        <v>174</v>
      </c>
      <c r="B3" s="857" t="s">
        <v>662</v>
      </c>
      <c r="C3" s="858"/>
      <c r="D3" s="858"/>
      <c r="E3" s="858"/>
      <c r="F3" s="858"/>
      <c r="G3" s="858"/>
      <c r="H3" s="858"/>
      <c r="I3" s="859"/>
      <c r="J3" s="1148">
        <v>192</v>
      </c>
      <c r="K3" s="331" t="s">
        <v>702</v>
      </c>
      <c r="L3" s="98"/>
      <c r="M3" s="92">
        <f>+J3</f>
        <v>192</v>
      </c>
      <c r="O3" s="839">
        <v>192</v>
      </c>
      <c r="P3" s="492"/>
      <c r="Q3" s="839">
        <v>192</v>
      </c>
      <c r="R3" s="493"/>
    </row>
    <row r="4" spans="1:18" s="30" customFormat="1" ht="18" customHeight="1" x14ac:dyDescent="0.25">
      <c r="A4" s="188" t="s">
        <v>175</v>
      </c>
      <c r="B4" s="860" t="s">
        <v>892</v>
      </c>
      <c r="C4" s="851"/>
      <c r="D4" s="851"/>
      <c r="E4" s="851"/>
      <c r="F4" s="851"/>
      <c r="G4" s="851"/>
      <c r="H4" s="851"/>
      <c r="I4" s="861"/>
      <c r="J4" s="1148">
        <v>1.2360515021459226</v>
      </c>
      <c r="K4" s="331"/>
      <c r="L4" s="98"/>
      <c r="M4" s="92">
        <f t="shared" ref="M4:M51" si="0">+J4</f>
        <v>1.2360515021459226</v>
      </c>
      <c r="O4" s="840">
        <f>'Facturas '!B201</f>
        <v>1.2307692307692308</v>
      </c>
      <c r="P4" s="976"/>
      <c r="Q4" s="1358">
        <v>1.225531914893617</v>
      </c>
      <c r="R4" s="607"/>
    </row>
    <row r="5" spans="1:18" s="30" customFormat="1" ht="18" customHeight="1" x14ac:dyDescent="0.25">
      <c r="A5" s="408" t="s">
        <v>41</v>
      </c>
      <c r="B5" s="1612" t="s">
        <v>663</v>
      </c>
      <c r="C5" s="852"/>
      <c r="D5" s="852"/>
      <c r="E5" s="852"/>
      <c r="F5" s="852"/>
      <c r="G5" s="852"/>
      <c r="H5" s="852"/>
      <c r="I5" s="863"/>
      <c r="J5" s="1350">
        <v>451812.74</v>
      </c>
      <c r="K5" s="1373" t="s">
        <v>698</v>
      </c>
      <c r="L5" s="1374"/>
      <c r="M5" s="1375">
        <f t="shared" si="0"/>
        <v>451812.74</v>
      </c>
      <c r="N5" s="443"/>
      <c r="O5" s="1356">
        <v>451812.74</v>
      </c>
      <c r="P5" s="977">
        <f>(O5/J5)-1</f>
        <v>0</v>
      </c>
      <c r="Q5" s="834">
        <v>183468.14635542198</v>
      </c>
      <c r="R5" s="977">
        <f>O5/Q5</f>
        <v>2.4626222533732363</v>
      </c>
    </row>
    <row r="6" spans="1:18" s="30" customFormat="1" ht="18" customHeight="1" x14ac:dyDescent="0.25">
      <c r="A6" s="408" t="s">
        <v>48</v>
      </c>
      <c r="B6" s="1613" t="s">
        <v>664</v>
      </c>
      <c r="C6" s="1614"/>
      <c r="D6" s="1614"/>
      <c r="E6" s="1614"/>
      <c r="F6" s="1614"/>
      <c r="G6" s="1614"/>
      <c r="H6" s="1614"/>
      <c r="I6" s="1615"/>
      <c r="J6" s="1350">
        <v>188544.8</v>
      </c>
      <c r="K6" s="1373" t="s">
        <v>698</v>
      </c>
      <c r="L6" s="1374"/>
      <c r="M6" s="1375">
        <f t="shared" si="0"/>
        <v>188544.8</v>
      </c>
      <c r="N6" s="443"/>
      <c r="O6" s="1356">
        <v>188544.8</v>
      </c>
      <c r="P6" s="977">
        <f>(O6/J6)-1</f>
        <v>0</v>
      </c>
      <c r="Q6" s="834">
        <v>106340.66</v>
      </c>
      <c r="R6" s="977">
        <f t="shared" ref="R6:R54" si="1">O6/Q6</f>
        <v>1.7730264228188914</v>
      </c>
    </row>
    <row r="7" spans="1:18" s="30" customFormat="1" ht="21" customHeight="1" x14ac:dyDescent="0.25">
      <c r="A7" s="1506" t="s">
        <v>176</v>
      </c>
      <c r="B7" s="1513" t="s">
        <v>190</v>
      </c>
      <c r="C7" s="1514" t="e">
        <v>#N/A</v>
      </c>
      <c r="D7" s="1514" t="e">
        <v>#N/A</v>
      </c>
      <c r="E7" s="1514" t="e">
        <v>#N/A</v>
      </c>
      <c r="F7" s="1514" t="e">
        <v>#N/A</v>
      </c>
      <c r="G7" s="1514" t="e">
        <v>#N/A</v>
      </c>
      <c r="H7" s="1514" t="e">
        <v>#N/A</v>
      </c>
      <c r="I7" s="1515" t="e">
        <v>#N/A</v>
      </c>
      <c r="J7" s="329">
        <v>0.43</v>
      </c>
      <c r="K7" s="331" t="s">
        <v>702</v>
      </c>
      <c r="L7" s="98"/>
      <c r="M7" s="1509">
        <f t="shared" si="0"/>
        <v>0.43</v>
      </c>
      <c r="O7" s="1507">
        <v>0.43</v>
      </c>
      <c r="P7" s="977"/>
      <c r="Q7" s="1507">
        <v>0.43</v>
      </c>
      <c r="R7" s="977">
        <f t="shared" si="1"/>
        <v>1</v>
      </c>
    </row>
    <row r="8" spans="1:18" s="30" customFormat="1" ht="21" customHeight="1" x14ac:dyDescent="0.25">
      <c r="A8" s="1506"/>
      <c r="B8" s="1513" t="e">
        <v>#N/A</v>
      </c>
      <c r="C8" s="1514" t="e">
        <v>#N/A</v>
      </c>
      <c r="D8" s="1514" t="e">
        <v>#N/A</v>
      </c>
      <c r="E8" s="1514" t="e">
        <v>#N/A</v>
      </c>
      <c r="F8" s="1514" t="e">
        <v>#N/A</v>
      </c>
      <c r="G8" s="1514" t="e">
        <v>#N/A</v>
      </c>
      <c r="H8" s="1514" t="e">
        <v>#N/A</v>
      </c>
      <c r="I8" s="1515" t="e">
        <v>#N/A</v>
      </c>
      <c r="J8" s="329"/>
      <c r="K8" s="331" t="s">
        <v>702</v>
      </c>
      <c r="L8" s="98"/>
      <c r="M8" s="1509">
        <f t="shared" si="0"/>
        <v>0</v>
      </c>
      <c r="O8" s="1508" t="e">
        <f>VLOOKUP(F8,'[2]Hoja Llave'!$A$10:$J$66,10,0)</f>
        <v>#N/A</v>
      </c>
      <c r="P8" s="977"/>
      <c r="Q8" s="1508"/>
      <c r="R8" s="977"/>
    </row>
    <row r="9" spans="1:18" s="30" customFormat="1" ht="18" customHeight="1" x14ac:dyDescent="0.25">
      <c r="A9" s="828" t="s">
        <v>177</v>
      </c>
      <c r="B9" s="860" t="s">
        <v>665</v>
      </c>
      <c r="C9" s="851"/>
      <c r="D9" s="851"/>
      <c r="E9" s="851"/>
      <c r="F9" s="851"/>
      <c r="G9" s="851"/>
      <c r="H9" s="851"/>
      <c r="I9" s="861"/>
      <c r="J9" s="329">
        <v>3.5</v>
      </c>
      <c r="K9" s="331" t="s">
        <v>702</v>
      </c>
      <c r="L9" s="98"/>
      <c r="M9" s="92">
        <f t="shared" si="0"/>
        <v>3.5</v>
      </c>
      <c r="O9" s="841">
        <v>3.5</v>
      </c>
      <c r="P9" s="977"/>
      <c r="Q9" s="841">
        <v>3.5</v>
      </c>
      <c r="R9" s="977">
        <f t="shared" si="1"/>
        <v>1</v>
      </c>
    </row>
    <row r="10" spans="1:18" s="30" customFormat="1" ht="18" customHeight="1" x14ac:dyDescent="0.25">
      <c r="A10" s="828" t="s">
        <v>255</v>
      </c>
      <c r="B10" s="860" t="s">
        <v>666</v>
      </c>
      <c r="C10" s="851"/>
      <c r="D10" s="851"/>
      <c r="E10" s="851"/>
      <c r="F10" s="851"/>
      <c r="G10" s="851"/>
      <c r="H10" s="851"/>
      <c r="I10" s="861"/>
      <c r="J10" s="329">
        <v>3.5</v>
      </c>
      <c r="K10" s="331" t="s">
        <v>702</v>
      </c>
      <c r="L10" s="98"/>
      <c r="M10" s="92">
        <f t="shared" si="0"/>
        <v>3.5</v>
      </c>
      <c r="O10" s="841">
        <v>3.5</v>
      </c>
      <c r="P10" s="977"/>
      <c r="Q10" s="841">
        <v>3.5</v>
      </c>
      <c r="R10" s="977">
        <f t="shared" si="1"/>
        <v>1</v>
      </c>
    </row>
    <row r="11" spans="1:18" s="30" customFormat="1" ht="18" customHeight="1" x14ac:dyDescent="0.25">
      <c r="A11" s="828" t="s">
        <v>262</v>
      </c>
      <c r="B11" s="860" t="s">
        <v>667</v>
      </c>
      <c r="C11" s="851"/>
      <c r="D11" s="851"/>
      <c r="E11" s="851"/>
      <c r="F11" s="851"/>
      <c r="G11" s="851"/>
      <c r="H11" s="851"/>
      <c r="I11" s="861"/>
      <c r="J11" s="329">
        <v>3.25</v>
      </c>
      <c r="K11" s="331" t="s">
        <v>702</v>
      </c>
      <c r="L11" s="98"/>
      <c r="M11" s="92">
        <f t="shared" si="0"/>
        <v>3.25</v>
      </c>
      <c r="O11" s="841">
        <v>3.25</v>
      </c>
      <c r="P11" s="977"/>
      <c r="Q11" s="841">
        <v>3.25</v>
      </c>
      <c r="R11" s="977">
        <f t="shared" si="1"/>
        <v>1</v>
      </c>
    </row>
    <row r="12" spans="1:18" s="30" customFormat="1" ht="18" customHeight="1" x14ac:dyDescent="0.25">
      <c r="A12" s="188" t="s">
        <v>178</v>
      </c>
      <c r="B12" s="860" t="s">
        <v>668</v>
      </c>
      <c r="C12" s="851"/>
      <c r="D12" s="851"/>
      <c r="E12" s="851"/>
      <c r="F12" s="851"/>
      <c r="G12" s="851"/>
      <c r="H12" s="851"/>
      <c r="I12" s="861"/>
      <c r="J12" s="329">
        <v>3.3E-3</v>
      </c>
      <c r="K12" s="331" t="s">
        <v>702</v>
      </c>
      <c r="L12" s="98"/>
      <c r="M12" s="92">
        <f t="shared" si="0"/>
        <v>3.3E-3</v>
      </c>
      <c r="O12" s="841">
        <v>3.3E-3</v>
      </c>
      <c r="P12" s="977"/>
      <c r="Q12" s="841">
        <v>3.3E-3</v>
      </c>
      <c r="R12" s="977">
        <f t="shared" si="1"/>
        <v>1</v>
      </c>
    </row>
    <row r="13" spans="1:18" s="30" customFormat="1" ht="18" customHeight="1" x14ac:dyDescent="0.25">
      <c r="A13" s="408" t="s">
        <v>63</v>
      </c>
      <c r="B13" s="1613" t="s">
        <v>380</v>
      </c>
      <c r="C13" s="1614" t="e">
        <v>#N/A</v>
      </c>
      <c r="D13" s="1614" t="e">
        <v>#N/A</v>
      </c>
      <c r="E13" s="1614" t="e">
        <v>#N/A</v>
      </c>
      <c r="F13" s="1614" t="e">
        <v>#N/A</v>
      </c>
      <c r="G13" s="1614" t="e">
        <v>#N/A</v>
      </c>
      <c r="H13" s="1614" t="e">
        <v>#N/A</v>
      </c>
      <c r="I13" s="1615" t="e">
        <v>#N/A</v>
      </c>
      <c r="J13" s="1149">
        <v>539125.97</v>
      </c>
      <c r="K13" s="411" t="s">
        <v>698</v>
      </c>
      <c r="L13" s="335"/>
      <c r="M13" s="92">
        <f t="shared" si="0"/>
        <v>539125.97</v>
      </c>
      <c r="O13" s="834">
        <f>'Resumen costos '!J9</f>
        <v>530495.79799999995</v>
      </c>
      <c r="P13" s="977">
        <f>(O13/J13)-1</f>
        <v>-1.6007709663847236E-2</v>
      </c>
      <c r="Q13" s="1372">
        <v>401503.18533333333</v>
      </c>
      <c r="R13" s="977">
        <f t="shared" si="1"/>
        <v>1.3212741950218283</v>
      </c>
    </row>
    <row r="14" spans="1:18" s="30" customFormat="1" ht="18" customHeight="1" x14ac:dyDescent="0.25">
      <c r="A14" s="408" t="s">
        <v>379</v>
      </c>
      <c r="B14" s="1613" t="s">
        <v>669</v>
      </c>
      <c r="C14" s="1614" t="e">
        <v>#N/A</v>
      </c>
      <c r="D14" s="1614" t="e">
        <v>#N/A</v>
      </c>
      <c r="E14" s="1614" t="e">
        <v>#N/A</v>
      </c>
      <c r="F14" s="1614" t="e">
        <v>#N/A</v>
      </c>
      <c r="G14" s="1614" t="e">
        <v>#N/A</v>
      </c>
      <c r="H14" s="1614" t="e">
        <v>#N/A</v>
      </c>
      <c r="I14" s="1615" t="e">
        <v>#N/A</v>
      </c>
      <c r="J14" s="1149">
        <v>539125.97</v>
      </c>
      <c r="K14" s="411" t="s">
        <v>698</v>
      </c>
      <c r="L14" s="335"/>
      <c r="M14" s="92">
        <f t="shared" si="0"/>
        <v>539125.97</v>
      </c>
      <c r="O14" s="834">
        <f>'Resumen costos '!J9</f>
        <v>530495.79799999995</v>
      </c>
      <c r="P14" s="977">
        <f>(O14/J14)-1</f>
        <v>-1.6007709663847236E-2</v>
      </c>
      <c r="Q14" s="1372">
        <v>401503.18533333333</v>
      </c>
      <c r="R14" s="977">
        <f t="shared" si="1"/>
        <v>1.3212741950218283</v>
      </c>
    </row>
    <row r="15" spans="1:18" s="30" customFormat="1" ht="18" customHeight="1" x14ac:dyDescent="0.25">
      <c r="A15" s="408" t="s">
        <v>187</v>
      </c>
      <c r="B15" s="1613" t="s">
        <v>367</v>
      </c>
      <c r="C15" s="1614" t="e">
        <v>#N/A</v>
      </c>
      <c r="D15" s="1614" t="e">
        <v>#N/A</v>
      </c>
      <c r="E15" s="1614" t="e">
        <v>#N/A</v>
      </c>
      <c r="F15" s="1614" t="e">
        <v>#N/A</v>
      </c>
      <c r="G15" s="1614" t="e">
        <v>#N/A</v>
      </c>
      <c r="H15" s="1614" t="e">
        <v>#N/A</v>
      </c>
      <c r="I15" s="1615" t="e">
        <v>#N/A</v>
      </c>
      <c r="J15" s="1149">
        <v>541259</v>
      </c>
      <c r="K15" s="411" t="s">
        <v>698</v>
      </c>
      <c r="L15" s="335"/>
      <c r="M15" s="92">
        <f t="shared" si="0"/>
        <v>541259</v>
      </c>
      <c r="O15" s="834">
        <f>'Resumen costos '!J12</f>
        <v>545795.29799999995</v>
      </c>
      <c r="P15" s="977">
        <f>(O15/J15)-1</f>
        <v>8.3810116783276101E-3</v>
      </c>
      <c r="Q15" s="1372">
        <v>402132.44799999997</v>
      </c>
      <c r="R15" s="977">
        <f t="shared" si="1"/>
        <v>1.3572525686860266</v>
      </c>
    </row>
    <row r="16" spans="1:18" s="30" customFormat="1" ht="18" customHeight="1" x14ac:dyDescent="0.25">
      <c r="A16" s="408" t="s">
        <v>335</v>
      </c>
      <c r="B16" s="1612" t="s">
        <v>670</v>
      </c>
      <c r="C16" s="852"/>
      <c r="D16" s="852"/>
      <c r="E16" s="852"/>
      <c r="F16" s="852"/>
      <c r="G16" s="852"/>
      <c r="H16" s="852"/>
      <c r="I16" s="863"/>
      <c r="J16" s="1348">
        <v>3844.71</v>
      </c>
      <c r="K16" s="411" t="s">
        <v>698</v>
      </c>
      <c r="L16" s="335"/>
      <c r="M16" s="92">
        <f t="shared" si="0"/>
        <v>3844.71</v>
      </c>
      <c r="O16" s="849">
        <f>'Resumen costos '!J7</f>
        <v>3989.8133971291868</v>
      </c>
      <c r="P16" s="977">
        <f>(O16/J16)-1</f>
        <v>3.7741051244225554E-2</v>
      </c>
      <c r="Q16" s="1372">
        <v>3175.2379080678415</v>
      </c>
      <c r="R16" s="977">
        <f t="shared" si="1"/>
        <v>1.2565399861823334</v>
      </c>
    </row>
    <row r="17" spans="1:18" s="30" customFormat="1" ht="18" customHeight="1" x14ac:dyDescent="0.25">
      <c r="A17" s="188" t="s">
        <v>171</v>
      </c>
      <c r="B17" s="860" t="s">
        <v>671</v>
      </c>
      <c r="C17" s="851"/>
      <c r="D17" s="851"/>
      <c r="E17" s="851"/>
      <c r="F17" s="851"/>
      <c r="G17" s="851"/>
      <c r="H17" s="851"/>
      <c r="I17" s="861"/>
      <c r="J17" s="1348">
        <v>1.0714285714285714E-4</v>
      </c>
      <c r="K17" s="334" t="s">
        <v>702</v>
      </c>
      <c r="L17" s="98"/>
      <c r="M17" s="198">
        <f t="shared" si="0"/>
        <v>1.0714285714285714E-4</v>
      </c>
      <c r="O17" s="842">
        <v>1.1E-4</v>
      </c>
      <c r="P17" s="977"/>
      <c r="Q17" s="842">
        <v>1.1E-4</v>
      </c>
      <c r="R17" s="977">
        <f t="shared" si="1"/>
        <v>1</v>
      </c>
    </row>
    <row r="18" spans="1:18" s="30" customFormat="1" ht="18" customHeight="1" x14ac:dyDescent="0.25">
      <c r="A18" s="236" t="s">
        <v>374</v>
      </c>
      <c r="B18" s="864" t="s">
        <v>455</v>
      </c>
      <c r="C18" s="853"/>
      <c r="D18" s="853"/>
      <c r="E18" s="853"/>
      <c r="F18" s="853"/>
      <c r="G18" s="853"/>
      <c r="H18" s="853"/>
      <c r="I18" s="865"/>
      <c r="J18" s="1348">
        <v>1.9047619047619048E-4</v>
      </c>
      <c r="K18" s="334" t="s">
        <v>702</v>
      </c>
      <c r="L18" s="98" t="e">
        <f>VLOOKUP(A18,'[2]Hoja Llave'!$A$10:$K$66,11,0)</f>
        <v>#N/A</v>
      </c>
      <c r="M18" s="336">
        <f t="shared" si="0"/>
        <v>1.9047619047619048E-4</v>
      </c>
      <c r="O18" s="846">
        <v>1.9000000000000001E-4</v>
      </c>
      <c r="P18" s="977"/>
      <c r="Q18" s="846">
        <v>1.9000000000000001E-4</v>
      </c>
      <c r="R18" s="977">
        <f t="shared" si="1"/>
        <v>1</v>
      </c>
    </row>
    <row r="19" spans="1:18" s="30" customFormat="1" ht="18" customHeight="1" x14ac:dyDescent="0.25">
      <c r="A19" s="188" t="s">
        <v>189</v>
      </c>
      <c r="B19" s="860" t="s">
        <v>672</v>
      </c>
      <c r="C19" s="851"/>
      <c r="D19" s="851"/>
      <c r="E19" s="851"/>
      <c r="F19" s="851"/>
      <c r="G19" s="851"/>
      <c r="H19" s="851"/>
      <c r="I19" s="861"/>
      <c r="J19" s="1348">
        <v>0.8</v>
      </c>
      <c r="K19" s="334" t="s">
        <v>702</v>
      </c>
      <c r="L19" s="98"/>
      <c r="M19" s="199">
        <f t="shared" si="0"/>
        <v>0.8</v>
      </c>
      <c r="O19" s="843">
        <v>0.8</v>
      </c>
      <c r="P19" s="977"/>
      <c r="Q19" s="843">
        <v>0.8</v>
      </c>
      <c r="R19" s="977">
        <f t="shared" si="1"/>
        <v>1</v>
      </c>
    </row>
    <row r="20" spans="1:18" s="30" customFormat="1" ht="18" customHeight="1" x14ac:dyDescent="0.25">
      <c r="A20" s="188" t="s">
        <v>83</v>
      </c>
      <c r="B20" s="860" t="s">
        <v>673</v>
      </c>
      <c r="C20" s="851"/>
      <c r="D20" s="851"/>
      <c r="E20" s="851"/>
      <c r="F20" s="851"/>
      <c r="G20" s="851"/>
      <c r="H20" s="851"/>
      <c r="I20" s="861"/>
      <c r="J20" s="1150">
        <v>0.08</v>
      </c>
      <c r="K20" s="334" t="s">
        <v>702</v>
      </c>
      <c r="L20" s="98"/>
      <c r="M20" s="200">
        <f t="shared" si="0"/>
        <v>0.08</v>
      </c>
      <c r="O20" s="844">
        <v>0.08</v>
      </c>
      <c r="P20" s="977"/>
      <c r="Q20" s="844">
        <v>0.08</v>
      </c>
      <c r="R20" s="977">
        <f t="shared" si="1"/>
        <v>1</v>
      </c>
    </row>
    <row r="21" spans="1:18" s="30" customFormat="1" ht="18" customHeight="1" x14ac:dyDescent="0.25">
      <c r="A21" s="188" t="s">
        <v>88</v>
      </c>
      <c r="B21" s="860" t="s">
        <v>674</v>
      </c>
      <c r="C21" s="851"/>
      <c r="D21" s="851"/>
      <c r="E21" s="851"/>
      <c r="F21" s="851"/>
      <c r="G21" s="851"/>
      <c r="H21" s="851"/>
      <c r="I21" s="861"/>
      <c r="J21" s="1151">
        <v>0.1</v>
      </c>
      <c r="K21" s="334" t="s">
        <v>702</v>
      </c>
      <c r="L21" s="98"/>
      <c r="M21" s="201">
        <f t="shared" si="0"/>
        <v>0.1</v>
      </c>
      <c r="O21" s="845">
        <v>0.1</v>
      </c>
      <c r="P21" s="977"/>
      <c r="Q21" s="845">
        <v>0.1</v>
      </c>
      <c r="R21" s="977">
        <f t="shared" si="1"/>
        <v>1</v>
      </c>
    </row>
    <row r="22" spans="1:18" s="30" customFormat="1" ht="18" customHeight="1" x14ac:dyDescent="0.25">
      <c r="A22" s="408" t="s">
        <v>100</v>
      </c>
      <c r="B22" s="1612" t="s">
        <v>675</v>
      </c>
      <c r="C22" s="852"/>
      <c r="D22" s="1616"/>
      <c r="E22" s="852"/>
      <c r="F22" s="852"/>
      <c r="G22" s="852"/>
      <c r="H22" s="852"/>
      <c r="I22" s="863"/>
      <c r="J22" s="1350">
        <v>93803.21</v>
      </c>
      <c r="K22" s="1370" t="s">
        <v>698</v>
      </c>
      <c r="L22" s="1352"/>
      <c r="M22" s="1353">
        <f t="shared" si="0"/>
        <v>93803.21</v>
      </c>
      <c r="N22" s="1352"/>
      <c r="O22" s="1356">
        <v>93803.21</v>
      </c>
      <c r="P22" s="977">
        <f>(O22/J22)-1</f>
        <v>0</v>
      </c>
      <c r="Q22" s="1372">
        <v>56013.411863506655</v>
      </c>
      <c r="R22" s="977">
        <f t="shared" si="1"/>
        <v>1.6746562453395883</v>
      </c>
    </row>
    <row r="23" spans="1:18" s="30" customFormat="1" ht="18" customHeight="1" x14ac:dyDescent="0.25">
      <c r="A23" s="408" t="s">
        <v>69</v>
      </c>
      <c r="B23" s="1612" t="s">
        <v>676</v>
      </c>
      <c r="C23" s="852"/>
      <c r="D23" s="852"/>
      <c r="E23" s="852"/>
      <c r="F23" s="852"/>
      <c r="G23" s="852"/>
      <c r="H23" s="852"/>
      <c r="I23" s="863"/>
      <c r="J23" s="1350">
        <v>8254</v>
      </c>
      <c r="K23" s="1371" t="s">
        <v>698</v>
      </c>
      <c r="L23" s="1352"/>
      <c r="M23" s="1353">
        <f t="shared" si="0"/>
        <v>8254</v>
      </c>
      <c r="N23" s="1354"/>
      <c r="O23" s="962">
        <f>'Resumen costos '!J24</f>
        <v>12124.594842965442</v>
      </c>
      <c r="P23" s="977">
        <f>(O23/J23)-1</f>
        <v>0.46893564852985725</v>
      </c>
      <c r="Q23" s="1372">
        <v>6897.1269976749891</v>
      </c>
      <c r="R23" s="977">
        <f t="shared" si="1"/>
        <v>1.7579196159578654</v>
      </c>
    </row>
    <row r="24" spans="1:18" s="30" customFormat="1" ht="18" customHeight="1" x14ac:dyDescent="0.25">
      <c r="A24" s="188" t="s">
        <v>179</v>
      </c>
      <c r="B24" s="860" t="s">
        <v>677</v>
      </c>
      <c r="C24" s="851"/>
      <c r="D24" s="851"/>
      <c r="E24" s="851"/>
      <c r="F24" s="851"/>
      <c r="G24" s="851"/>
      <c r="H24" s="851"/>
      <c r="I24" s="861" t="s">
        <v>96</v>
      </c>
      <c r="J24" s="329">
        <v>10</v>
      </c>
      <c r="K24" s="331" t="s">
        <v>702</v>
      </c>
      <c r="L24" s="98"/>
      <c r="M24" s="92">
        <f t="shared" si="0"/>
        <v>10</v>
      </c>
      <c r="O24" s="841">
        <v>10</v>
      </c>
      <c r="P24" s="977"/>
      <c r="Q24" s="841">
        <v>10</v>
      </c>
      <c r="R24" s="977">
        <f t="shared" si="1"/>
        <v>1</v>
      </c>
    </row>
    <row r="25" spans="1:18" s="30" customFormat="1" ht="18" customHeight="1" x14ac:dyDescent="0.25">
      <c r="A25" s="408" t="s">
        <v>127</v>
      </c>
      <c r="B25" s="1612" t="s">
        <v>128</v>
      </c>
      <c r="C25" s="852"/>
      <c r="D25" s="852"/>
      <c r="E25" s="852"/>
      <c r="F25" s="852"/>
      <c r="G25" s="852"/>
      <c r="H25" s="852"/>
      <c r="I25" s="863"/>
      <c r="J25" s="1148">
        <v>423127.3</v>
      </c>
      <c r="K25" s="483" t="s">
        <v>698</v>
      </c>
      <c r="L25" s="429"/>
      <c r="M25" s="484">
        <f t="shared" si="0"/>
        <v>423127.3</v>
      </c>
      <c r="N25" s="99"/>
      <c r="O25" s="1356">
        <v>423127.3</v>
      </c>
      <c r="P25" s="977">
        <f>(O25/J25)-1</f>
        <v>0</v>
      </c>
      <c r="Q25" s="834">
        <v>322650.96857142856</v>
      </c>
      <c r="R25" s="977">
        <f t="shared" si="1"/>
        <v>1.3114087395225902</v>
      </c>
    </row>
    <row r="26" spans="1:18" s="30" customFormat="1" ht="18" customHeight="1" x14ac:dyDescent="0.25">
      <c r="A26" s="188" t="s">
        <v>143</v>
      </c>
      <c r="B26" s="860" t="s">
        <v>678</v>
      </c>
      <c r="C26" s="851"/>
      <c r="D26" s="851"/>
      <c r="E26" s="851"/>
      <c r="F26" s="851"/>
      <c r="G26" s="851"/>
      <c r="H26" s="851"/>
      <c r="I26" s="861"/>
      <c r="J26" s="329">
        <v>0</v>
      </c>
      <c r="K26" s="331" t="s">
        <v>702</v>
      </c>
      <c r="L26" s="98"/>
      <c r="M26" s="92">
        <f t="shared" ref="M26:M34" si="2">+J26</f>
        <v>0</v>
      </c>
      <c r="O26" s="841">
        <v>0</v>
      </c>
      <c r="P26" s="977"/>
      <c r="Q26" s="841">
        <v>0</v>
      </c>
      <c r="R26" s="977"/>
    </row>
    <row r="27" spans="1:18" s="30" customFormat="1" ht="18" customHeight="1" x14ac:dyDescent="0.25">
      <c r="A27" s="412" t="s">
        <v>180</v>
      </c>
      <c r="B27" s="1617" t="s">
        <v>181</v>
      </c>
      <c r="C27" s="854"/>
      <c r="D27" s="854"/>
      <c r="E27" s="854"/>
      <c r="F27" s="854"/>
      <c r="G27" s="854"/>
      <c r="H27" s="854"/>
      <c r="I27" s="867"/>
      <c r="J27" s="1348">
        <v>6848483</v>
      </c>
      <c r="K27" s="396" t="s">
        <v>700</v>
      </c>
      <c r="L27" s="425"/>
      <c r="M27" s="426">
        <f t="shared" si="2"/>
        <v>6848483</v>
      </c>
      <c r="N27" s="425"/>
      <c r="O27" s="961">
        <f>'INFO SECRETARIA'!B11</f>
        <v>6452004</v>
      </c>
      <c r="P27" s="977">
        <f>(O27/J27)-1</f>
        <v>-5.7892966953411396E-2</v>
      </c>
      <c r="Q27" s="1377">
        <v>7163544</v>
      </c>
      <c r="R27" s="977">
        <f t="shared" si="1"/>
        <v>0.90067206957896817</v>
      </c>
    </row>
    <row r="28" spans="1:18" s="30" customFormat="1" ht="18" customHeight="1" x14ac:dyDescent="0.25">
      <c r="A28" s="414" t="s">
        <v>575</v>
      </c>
      <c r="B28" s="868" t="s">
        <v>573</v>
      </c>
      <c r="C28" s="855"/>
      <c r="D28" s="855"/>
      <c r="E28" s="855"/>
      <c r="F28" s="855"/>
      <c r="G28" s="855"/>
      <c r="H28" s="855"/>
      <c r="I28" s="869"/>
      <c r="J28" s="1348">
        <v>2881156.7981000002</v>
      </c>
      <c r="K28" s="415" t="s">
        <v>633</v>
      </c>
      <c r="L28" s="335"/>
      <c r="M28" s="407">
        <f t="shared" si="2"/>
        <v>2881156.7981000002</v>
      </c>
      <c r="N28" s="335"/>
      <c r="O28" s="847">
        <f>+O27*O41</f>
        <v>2802750.5375999999</v>
      </c>
      <c r="P28" s="977"/>
      <c r="Q28" s="1358">
        <v>3111843.5136000002</v>
      </c>
      <c r="R28" s="977">
        <f t="shared" si="1"/>
        <v>0.90067206957896806</v>
      </c>
    </row>
    <row r="29" spans="1:18" s="30" customFormat="1" ht="18" customHeight="1" x14ac:dyDescent="0.25">
      <c r="A29" s="414" t="s">
        <v>576</v>
      </c>
      <c r="B29" s="868" t="s">
        <v>574</v>
      </c>
      <c r="C29" s="855"/>
      <c r="D29" s="855"/>
      <c r="E29" s="855"/>
      <c r="F29" s="855"/>
      <c r="G29" s="855"/>
      <c r="H29" s="855"/>
      <c r="I29" s="869"/>
      <c r="J29" s="1348">
        <v>3967326.2019000002</v>
      </c>
      <c r="K29" s="415" t="s">
        <v>633</v>
      </c>
      <c r="L29" s="335"/>
      <c r="M29" s="407">
        <f t="shared" si="2"/>
        <v>3967326.2019000002</v>
      </c>
      <c r="N29" s="335"/>
      <c r="O29" s="847">
        <f>+O27*O42</f>
        <v>3649253.4624000001</v>
      </c>
      <c r="P29" s="977"/>
      <c r="Q29" s="1358">
        <v>4051700.4863999998</v>
      </c>
      <c r="R29" s="977">
        <f t="shared" si="1"/>
        <v>0.90067206957896828</v>
      </c>
    </row>
    <row r="30" spans="1:18" s="30" customFormat="1" ht="18" customHeight="1" x14ac:dyDescent="0.25">
      <c r="A30" s="413" t="s">
        <v>329</v>
      </c>
      <c r="B30" s="866" t="s">
        <v>679</v>
      </c>
      <c r="C30" s="854"/>
      <c r="D30" s="854"/>
      <c r="E30" s="854"/>
      <c r="F30" s="854"/>
      <c r="G30" s="854"/>
      <c r="H30" s="854"/>
      <c r="I30" s="867"/>
      <c r="J30" s="1149">
        <v>6467.8964162485545</v>
      </c>
      <c r="K30" s="396"/>
      <c r="L30" s="335"/>
      <c r="M30" s="407">
        <f t="shared" si="2"/>
        <v>6467.8964162485545</v>
      </c>
      <c r="N30" s="335"/>
      <c r="O30" s="1359">
        <f>Unidades!D16</f>
        <v>7266.0246413300456</v>
      </c>
      <c r="P30" s="977">
        <f>(O30/J30)-1</f>
        <v>0.12339842411150026</v>
      </c>
      <c r="Q30" s="1358">
        <v>8067.336477666784</v>
      </c>
      <c r="R30" s="977">
        <f t="shared" si="1"/>
        <v>0.90067206957896817</v>
      </c>
    </row>
    <row r="31" spans="1:18" s="30" customFormat="1" ht="18" customHeight="1" x14ac:dyDescent="0.25">
      <c r="A31" s="188" t="s">
        <v>185</v>
      </c>
      <c r="B31" s="860" t="s">
        <v>680</v>
      </c>
      <c r="C31" s="851"/>
      <c r="D31" s="851"/>
      <c r="E31" s="851"/>
      <c r="F31" s="851"/>
      <c r="G31" s="851"/>
      <c r="H31" s="851"/>
      <c r="I31" s="861"/>
      <c r="J31" s="329">
        <v>2.5</v>
      </c>
      <c r="K31" s="331" t="s">
        <v>702</v>
      </c>
      <c r="L31" s="98"/>
      <c r="M31" s="92">
        <f t="shared" si="2"/>
        <v>2.5</v>
      </c>
      <c r="O31" s="841">
        <v>2.5</v>
      </c>
      <c r="P31" s="977"/>
      <c r="Q31" s="841">
        <v>2.5</v>
      </c>
      <c r="R31" s="977">
        <f t="shared" si="1"/>
        <v>1</v>
      </c>
    </row>
    <row r="32" spans="1:18" s="30" customFormat="1" ht="18" customHeight="1" x14ac:dyDescent="0.25">
      <c r="A32" s="408" t="s">
        <v>182</v>
      </c>
      <c r="B32" s="1612" t="s">
        <v>681</v>
      </c>
      <c r="C32" s="852"/>
      <c r="D32" s="852"/>
      <c r="E32" s="852"/>
      <c r="F32" s="852"/>
      <c r="G32" s="852"/>
      <c r="H32" s="852"/>
      <c r="I32" s="863"/>
      <c r="J32" s="1350">
        <v>950453</v>
      </c>
      <c r="K32" s="1351" t="s">
        <v>698</v>
      </c>
      <c r="L32" s="1352"/>
      <c r="M32" s="1353">
        <f t="shared" si="2"/>
        <v>950453</v>
      </c>
      <c r="N32" s="1354"/>
      <c r="O32" s="834">
        <f>'Sueldo y patentes'!W3</f>
        <v>950453</v>
      </c>
      <c r="P32" s="1355">
        <f>(O32/J32)-1</f>
        <v>0</v>
      </c>
      <c r="Q32" s="834">
        <v>517820</v>
      </c>
      <c r="R32" s="977">
        <f t="shared" si="1"/>
        <v>1.835489166119501</v>
      </c>
    </row>
    <row r="33" spans="1:18" s="30" customFormat="1" ht="18" customHeight="1" x14ac:dyDescent="0.25">
      <c r="A33" s="236" t="s">
        <v>333</v>
      </c>
      <c r="B33" s="868" t="s">
        <v>643</v>
      </c>
      <c r="C33" s="855"/>
      <c r="D33" s="855"/>
      <c r="E33" s="855"/>
      <c r="F33" s="855"/>
      <c r="G33" s="855"/>
      <c r="H33" s="855"/>
      <c r="I33" s="869"/>
      <c r="J33" s="1348">
        <v>77614.756994982657</v>
      </c>
      <c r="K33" s="415" t="s">
        <v>633</v>
      </c>
      <c r="L33" s="98"/>
      <c r="M33" s="92">
        <f t="shared" si="2"/>
        <v>77614.756994982657</v>
      </c>
      <c r="N33" s="98"/>
      <c r="O33" s="847">
        <f>+O30*12</f>
        <v>87192.295695960551</v>
      </c>
      <c r="P33" s="977"/>
      <c r="Q33" s="1358">
        <v>96808.037732001409</v>
      </c>
      <c r="R33" s="977">
        <f t="shared" si="1"/>
        <v>0.90067206957896817</v>
      </c>
    </row>
    <row r="34" spans="1:18" s="30" customFormat="1" ht="18" customHeight="1" x14ac:dyDescent="0.25">
      <c r="A34" s="236" t="s">
        <v>334</v>
      </c>
      <c r="B34" s="868" t="s">
        <v>682</v>
      </c>
      <c r="C34" s="855"/>
      <c r="D34" s="855"/>
      <c r="E34" s="855"/>
      <c r="F34" s="855"/>
      <c r="G34" s="855"/>
      <c r="H34" s="855"/>
      <c r="I34" s="869"/>
      <c r="J34" s="1149">
        <v>116245.86900780138</v>
      </c>
      <c r="K34" s="415" t="s">
        <v>633</v>
      </c>
      <c r="L34" s="98"/>
      <c r="M34" s="92">
        <f t="shared" si="2"/>
        <v>116245.86900780138</v>
      </c>
      <c r="N34" s="98"/>
      <c r="O34" s="847">
        <f>+O46*12</f>
        <v>94323.109686616328</v>
      </c>
      <c r="P34" s="977"/>
      <c r="Q34" s="1358">
        <v>104725.25225602809</v>
      </c>
      <c r="R34" s="977">
        <f t="shared" si="1"/>
        <v>0.90067206957896817</v>
      </c>
    </row>
    <row r="35" spans="1:18" s="30" customFormat="1" ht="18" customHeight="1" x14ac:dyDescent="0.25">
      <c r="A35" s="236" t="s">
        <v>183</v>
      </c>
      <c r="B35" s="868" t="s">
        <v>683</v>
      </c>
      <c r="C35" s="855"/>
      <c r="D35" s="855"/>
      <c r="E35" s="855"/>
      <c r="F35" s="855"/>
      <c r="G35" s="855"/>
      <c r="H35" s="855"/>
      <c r="I35" s="869"/>
      <c r="J35" s="1349">
        <v>38760000</v>
      </c>
      <c r="K35" s="415" t="s">
        <v>633</v>
      </c>
      <c r="L35" s="98"/>
      <c r="M35" s="199">
        <f t="shared" si="0"/>
        <v>38760000</v>
      </c>
      <c r="O35" s="847">
        <f>+(O56*0.15)</f>
        <v>23534715.370577939</v>
      </c>
      <c r="P35" s="977"/>
      <c r="Q35" s="1358">
        <v>23062935.787348744</v>
      </c>
      <c r="R35" s="977">
        <f t="shared" si="1"/>
        <v>1.020456180755964</v>
      </c>
    </row>
    <row r="36" spans="1:18" s="30" customFormat="1" ht="18" customHeight="1" x14ac:dyDescent="0.25">
      <c r="A36" s="236" t="s">
        <v>340</v>
      </c>
      <c r="B36" s="868" t="s">
        <v>562</v>
      </c>
      <c r="C36" s="855"/>
      <c r="D36" s="855"/>
      <c r="E36" s="855"/>
      <c r="F36" s="855"/>
      <c r="G36" s="855"/>
      <c r="H36" s="855"/>
      <c r="I36" s="869"/>
      <c r="J36" s="1349">
        <v>58520000</v>
      </c>
      <c r="K36" s="415" t="s">
        <v>633</v>
      </c>
      <c r="L36" s="98"/>
      <c r="M36" s="199">
        <f t="shared" si="0"/>
        <v>58520000</v>
      </c>
      <c r="O36" s="847">
        <f>+O57*0.15</f>
        <v>31894498.238398861</v>
      </c>
      <c r="P36" s="977"/>
      <c r="Q36" s="1358">
        <v>31255137.496223606</v>
      </c>
      <c r="R36" s="977">
        <f t="shared" si="1"/>
        <v>1.020456180755964</v>
      </c>
    </row>
    <row r="37" spans="1:18" s="30" customFormat="1" ht="18" customHeight="1" x14ac:dyDescent="0.25">
      <c r="A37" s="188" t="s">
        <v>186</v>
      </c>
      <c r="B37" s="860" t="s">
        <v>684</v>
      </c>
      <c r="C37" s="851"/>
      <c r="D37" s="851"/>
      <c r="E37" s="851"/>
      <c r="F37" s="851"/>
      <c r="G37" s="851"/>
      <c r="H37" s="851"/>
      <c r="I37" s="861"/>
      <c r="J37" s="1348">
        <v>10</v>
      </c>
      <c r="K37" s="331" t="s">
        <v>702</v>
      </c>
      <c r="L37" s="98"/>
      <c r="M37" s="92">
        <f t="shared" si="0"/>
        <v>10</v>
      </c>
      <c r="O37" s="841">
        <v>10</v>
      </c>
      <c r="P37" s="977"/>
      <c r="Q37" s="841">
        <v>10</v>
      </c>
      <c r="R37" s="977">
        <f t="shared" si="1"/>
        <v>1</v>
      </c>
    </row>
    <row r="38" spans="1:18" s="30" customFormat="1" ht="18" customHeight="1" x14ac:dyDescent="0.25">
      <c r="A38" s="188" t="s">
        <v>184</v>
      </c>
      <c r="B38" s="860" t="s">
        <v>685</v>
      </c>
      <c r="C38" s="851"/>
      <c r="D38" s="851"/>
      <c r="E38" s="851"/>
      <c r="F38" s="851"/>
      <c r="G38" s="851"/>
      <c r="H38" s="851"/>
      <c r="I38" s="861"/>
      <c r="J38" s="1348">
        <v>1.6</v>
      </c>
      <c r="K38" s="331" t="s">
        <v>702</v>
      </c>
      <c r="L38" s="98"/>
      <c r="M38" s="92">
        <f t="shared" si="0"/>
        <v>1.6</v>
      </c>
      <c r="O38" s="841">
        <v>1.6</v>
      </c>
      <c r="P38" s="977"/>
      <c r="Q38" s="841">
        <v>1.6</v>
      </c>
      <c r="R38" s="977">
        <f t="shared" si="1"/>
        <v>1</v>
      </c>
    </row>
    <row r="39" spans="1:18" s="30" customFormat="1" ht="18" customHeight="1" x14ac:dyDescent="0.25">
      <c r="A39" s="236" t="s">
        <v>195</v>
      </c>
      <c r="B39" s="868" t="s">
        <v>708</v>
      </c>
      <c r="C39" s="855"/>
      <c r="D39" s="855"/>
      <c r="E39" s="855"/>
      <c r="F39" s="855"/>
      <c r="G39" s="855"/>
      <c r="H39" s="855"/>
      <c r="I39" s="869"/>
      <c r="J39" s="1348">
        <v>5445.3036458333336</v>
      </c>
      <c r="K39" s="415" t="s">
        <v>633</v>
      </c>
      <c r="L39" s="98"/>
      <c r="M39" s="92">
        <f>+(M32*1.1)/192</f>
        <v>5445.3036458333336</v>
      </c>
      <c r="O39" s="847">
        <f>+(O32*1.1)/192</f>
        <v>5445.3036458333336</v>
      </c>
      <c r="P39" s="977">
        <f>(O39/J39)-1</f>
        <v>0</v>
      </c>
      <c r="Q39" s="1358">
        <v>2966.6770833333335</v>
      </c>
      <c r="R39" s="977">
        <f t="shared" si="1"/>
        <v>1.835489166119501</v>
      </c>
    </row>
    <row r="40" spans="1:18" s="30" customFormat="1" ht="18" customHeight="1" x14ac:dyDescent="0.25">
      <c r="A40" s="236" t="s">
        <v>204</v>
      </c>
      <c r="B40" s="868" t="s">
        <v>709</v>
      </c>
      <c r="C40" s="855"/>
      <c r="D40" s="855"/>
      <c r="E40" s="855"/>
      <c r="F40" s="855"/>
      <c r="G40" s="855"/>
      <c r="H40" s="855"/>
      <c r="I40" s="869"/>
      <c r="J40" s="1348">
        <v>5445.3036458333336</v>
      </c>
      <c r="K40" s="415" t="s">
        <v>633</v>
      </c>
      <c r="L40" s="98"/>
      <c r="M40" s="92">
        <f>+(M48*1.1)/192</f>
        <v>5445.3036458333336</v>
      </c>
      <c r="N40" s="91"/>
      <c r="O40" s="847">
        <f>+(O48*1.1)/192</f>
        <v>5445.3036458333336</v>
      </c>
      <c r="P40" s="977">
        <f>(O40/J40)-1</f>
        <v>0</v>
      </c>
      <c r="Q40" s="1358">
        <v>2449.8031249999999</v>
      </c>
      <c r="R40" s="977">
        <f t="shared" si="1"/>
        <v>2.2227515306289494</v>
      </c>
    </row>
    <row r="41" spans="1:18" ht="18" customHeight="1" x14ac:dyDescent="0.25">
      <c r="A41" s="413" t="s">
        <v>193</v>
      </c>
      <c r="B41" s="866" t="s">
        <v>237</v>
      </c>
      <c r="C41" s="854"/>
      <c r="D41" s="854"/>
      <c r="E41" s="854"/>
      <c r="F41" s="854"/>
      <c r="G41" s="854"/>
      <c r="H41" s="854"/>
      <c r="I41" s="867"/>
      <c r="J41" s="1348">
        <v>0.42070000000000002</v>
      </c>
      <c r="K41" s="419"/>
      <c r="L41" s="335"/>
      <c r="M41" s="106">
        <f t="shared" si="0"/>
        <v>0.42070000000000002</v>
      </c>
      <c r="N41" s="30"/>
      <c r="O41" s="1182">
        <f>Unidades!F4</f>
        <v>0.43440000000000001</v>
      </c>
      <c r="P41" s="977"/>
      <c r="Q41" s="1360">
        <v>0.43440000000000001</v>
      </c>
      <c r="R41" s="977">
        <f t="shared" si="1"/>
        <v>1</v>
      </c>
    </row>
    <row r="42" spans="1:18" ht="18" customHeight="1" x14ac:dyDescent="0.25">
      <c r="A42" s="413" t="s">
        <v>203</v>
      </c>
      <c r="B42" s="866" t="s">
        <v>238</v>
      </c>
      <c r="C42" s="854"/>
      <c r="D42" s="854"/>
      <c r="E42" s="854"/>
      <c r="F42" s="854"/>
      <c r="G42" s="854"/>
      <c r="H42" s="854"/>
      <c r="I42" s="867"/>
      <c r="J42" s="1348">
        <v>0.57930000000000004</v>
      </c>
      <c r="K42" s="419"/>
      <c r="L42" s="335"/>
      <c r="M42" s="106">
        <f t="shared" si="0"/>
        <v>0.57930000000000004</v>
      </c>
      <c r="N42" s="30"/>
      <c r="O42" s="1182">
        <f>Unidades!F5</f>
        <v>0.56559999999999999</v>
      </c>
      <c r="P42" s="977"/>
      <c r="Q42" s="1360">
        <v>0.56559999999999999</v>
      </c>
      <c r="R42" s="977">
        <f t="shared" si="1"/>
        <v>1</v>
      </c>
    </row>
    <row r="43" spans="1:18" ht="18" customHeight="1" x14ac:dyDescent="0.25">
      <c r="A43" s="850" t="s">
        <v>210</v>
      </c>
      <c r="B43" s="860" t="s">
        <v>686</v>
      </c>
      <c r="C43" s="851"/>
      <c r="D43" s="851"/>
      <c r="E43" s="851"/>
      <c r="F43" s="851"/>
      <c r="G43" s="851"/>
      <c r="H43" s="851"/>
      <c r="I43" s="861"/>
      <c r="J43" s="329">
        <v>3</v>
      </c>
      <c r="K43" s="331" t="s">
        <v>702</v>
      </c>
      <c r="L43" s="98"/>
      <c r="M43" s="106">
        <f t="shared" si="0"/>
        <v>3</v>
      </c>
      <c r="N43" s="30"/>
      <c r="O43" s="848">
        <v>3</v>
      </c>
      <c r="P43" s="977"/>
      <c r="Q43" s="848">
        <v>3</v>
      </c>
      <c r="R43" s="977">
        <f t="shared" si="1"/>
        <v>1</v>
      </c>
    </row>
    <row r="44" spans="1:18" ht="18" customHeight="1" x14ac:dyDescent="0.25">
      <c r="A44" s="828" t="s">
        <v>197</v>
      </c>
      <c r="B44" s="860" t="s">
        <v>687</v>
      </c>
      <c r="C44" s="851"/>
      <c r="D44" s="851"/>
      <c r="E44" s="851"/>
      <c r="F44" s="851"/>
      <c r="G44" s="851"/>
      <c r="H44" s="851"/>
      <c r="I44" s="861"/>
      <c r="J44" s="329">
        <v>1.0666666666666667</v>
      </c>
      <c r="K44" s="331" t="s">
        <v>702</v>
      </c>
      <c r="L44" s="98"/>
      <c r="M44" s="106">
        <f t="shared" si="0"/>
        <v>1.0666666666666667</v>
      </c>
      <c r="N44" s="30"/>
      <c r="O44" s="848">
        <v>1.0667</v>
      </c>
      <c r="P44" s="977"/>
      <c r="Q44" s="848">
        <v>1.0667</v>
      </c>
      <c r="R44" s="977">
        <f t="shared" si="1"/>
        <v>1</v>
      </c>
    </row>
    <row r="45" spans="1:18" ht="18" customHeight="1" x14ac:dyDescent="0.25">
      <c r="A45" s="828" t="s">
        <v>205</v>
      </c>
      <c r="B45" s="860" t="s">
        <v>687</v>
      </c>
      <c r="C45" s="851"/>
      <c r="D45" s="851"/>
      <c r="E45" s="851"/>
      <c r="F45" s="851"/>
      <c r="G45" s="851"/>
      <c r="H45" s="851"/>
      <c r="I45" s="861"/>
      <c r="J45" s="329">
        <v>1.1428571428571428</v>
      </c>
      <c r="K45" s="331" t="s">
        <v>702</v>
      </c>
      <c r="L45" s="98"/>
      <c r="M45" s="106">
        <f t="shared" si="0"/>
        <v>1.1428571428571428</v>
      </c>
      <c r="N45" s="30"/>
      <c r="O45" s="848">
        <v>1.1429</v>
      </c>
      <c r="P45" s="977"/>
      <c r="Q45" s="848">
        <v>1.1429</v>
      </c>
      <c r="R45" s="977">
        <f t="shared" si="1"/>
        <v>1</v>
      </c>
    </row>
    <row r="46" spans="1:18" ht="18" customHeight="1" x14ac:dyDescent="0.25">
      <c r="A46" s="413" t="s">
        <v>218</v>
      </c>
      <c r="B46" s="866" t="s">
        <v>688</v>
      </c>
      <c r="C46" s="854"/>
      <c r="D46" s="854"/>
      <c r="E46" s="854"/>
      <c r="F46" s="854"/>
      <c r="G46" s="854"/>
      <c r="H46" s="854"/>
      <c r="I46" s="867"/>
      <c r="J46" s="1149">
        <v>9687.155750650114</v>
      </c>
      <c r="K46" s="396" t="s">
        <v>700</v>
      </c>
      <c r="L46" s="335"/>
      <c r="M46" s="407">
        <f t="shared" si="0"/>
        <v>9687.155750650114</v>
      </c>
      <c r="N46" s="480"/>
      <c r="O46" s="1359">
        <f>Unidades!D17</f>
        <v>7860.2591405513604</v>
      </c>
      <c r="P46" s="977"/>
      <c r="Q46" s="1361">
        <v>8727.1043546690071</v>
      </c>
      <c r="R46" s="977">
        <f t="shared" si="1"/>
        <v>0.90067206957896817</v>
      </c>
    </row>
    <row r="47" spans="1:18" ht="18" customHeight="1" x14ac:dyDescent="0.25">
      <c r="A47" s="828" t="s">
        <v>331</v>
      </c>
      <c r="B47" s="860" t="s">
        <v>689</v>
      </c>
      <c r="C47" s="851"/>
      <c r="D47" s="851"/>
      <c r="E47" s="851"/>
      <c r="F47" s="851"/>
      <c r="G47" s="851"/>
      <c r="H47" s="851"/>
      <c r="I47" s="861"/>
      <c r="J47" s="329">
        <v>20</v>
      </c>
      <c r="K47" s="331" t="s">
        <v>702</v>
      </c>
      <c r="L47" s="98"/>
      <c r="M47" s="106">
        <f t="shared" si="0"/>
        <v>20</v>
      </c>
      <c r="N47" s="30"/>
      <c r="O47" s="841">
        <v>20</v>
      </c>
      <c r="P47" s="977"/>
      <c r="Q47" s="841">
        <v>20</v>
      </c>
      <c r="R47" s="977">
        <f t="shared" si="1"/>
        <v>1</v>
      </c>
    </row>
    <row r="48" spans="1:18" ht="18" customHeight="1" x14ac:dyDescent="0.25">
      <c r="A48" s="408" t="s">
        <v>224</v>
      </c>
      <c r="B48" s="870" t="s">
        <v>690</v>
      </c>
      <c r="C48" s="856"/>
      <c r="D48" s="856"/>
      <c r="E48" s="856"/>
      <c r="F48" s="856"/>
      <c r="G48" s="856"/>
      <c r="H48" s="856"/>
      <c r="I48" s="871"/>
      <c r="J48" s="1364">
        <v>950453</v>
      </c>
      <c r="K48" s="1351" t="s">
        <v>698</v>
      </c>
      <c r="L48" s="1352"/>
      <c r="M48" s="1353">
        <f>+J48</f>
        <v>950453</v>
      </c>
      <c r="N48" s="1354"/>
      <c r="O48" s="1365">
        <f>'Sueldo y patentes'!W3</f>
        <v>950453</v>
      </c>
      <c r="P48" s="977">
        <f>(O48/J48)-1</f>
        <v>0</v>
      </c>
      <c r="Q48" s="1212">
        <v>427602</v>
      </c>
      <c r="R48" s="977">
        <f t="shared" si="1"/>
        <v>2.2227515306289494</v>
      </c>
    </row>
    <row r="49" spans="1:26" ht="18" customHeight="1" x14ac:dyDescent="0.25">
      <c r="A49" s="408" t="s">
        <v>254</v>
      </c>
      <c r="B49" s="1612" t="s">
        <v>703</v>
      </c>
      <c r="C49" s="852"/>
      <c r="D49" s="852"/>
      <c r="E49" s="852"/>
      <c r="F49" s="852"/>
      <c r="G49" s="852"/>
      <c r="H49" s="852"/>
      <c r="I49" s="863"/>
      <c r="J49" s="329">
        <v>870</v>
      </c>
      <c r="K49" s="411" t="s">
        <v>698</v>
      </c>
      <c r="L49" s="98"/>
      <c r="M49" s="106">
        <f>+J49</f>
        <v>870</v>
      </c>
      <c r="N49" s="30"/>
      <c r="O49" s="1212">
        <f>'Facturas '!F21</f>
        <v>1120.6129316775714</v>
      </c>
      <c r="P49" s="1077">
        <f>(O49/J49)-1</f>
        <v>0.28806084100870266</v>
      </c>
      <c r="Q49" s="1212">
        <v>597</v>
      </c>
      <c r="R49" s="977">
        <f t="shared" si="1"/>
        <v>1.8770735873996172</v>
      </c>
    </row>
    <row r="50" spans="1:26" ht="18" customHeight="1" x14ac:dyDescent="0.25">
      <c r="A50" s="408" t="s">
        <v>259</v>
      </c>
      <c r="B50" s="1612" t="s">
        <v>704</v>
      </c>
      <c r="C50" s="852"/>
      <c r="D50" s="852"/>
      <c r="E50" s="852"/>
      <c r="F50" s="852"/>
      <c r="G50" s="852"/>
      <c r="H50" s="852"/>
      <c r="I50" s="863"/>
      <c r="J50" s="329">
        <v>870</v>
      </c>
      <c r="K50" s="411" t="s">
        <v>698</v>
      </c>
      <c r="L50" s="98"/>
      <c r="M50" s="106">
        <f>+J50</f>
        <v>870</v>
      </c>
      <c r="N50" s="30"/>
      <c r="O50" s="1212">
        <f>'Facturas '!F21</f>
        <v>1120.6129316775714</v>
      </c>
      <c r="P50" s="1077">
        <f>(O50/J50)-1</f>
        <v>0.28806084100870266</v>
      </c>
      <c r="Q50" s="1212">
        <v>597</v>
      </c>
      <c r="R50" s="977">
        <f t="shared" si="1"/>
        <v>1.8770735873996172</v>
      </c>
    </row>
    <row r="51" spans="1:26" ht="18" customHeight="1" thickBot="1" x14ac:dyDescent="0.3">
      <c r="A51" s="828" t="s">
        <v>269</v>
      </c>
      <c r="B51" s="860" t="s">
        <v>691</v>
      </c>
      <c r="C51" s="851"/>
      <c r="D51" s="851"/>
      <c r="E51" s="851"/>
      <c r="F51" s="851"/>
      <c r="G51" s="851"/>
      <c r="H51" s="851"/>
      <c r="I51" s="861"/>
      <c r="J51" s="1148">
        <v>4.1999999999999997E-3</v>
      </c>
      <c r="K51" s="331" t="s">
        <v>702</v>
      </c>
      <c r="L51" s="98"/>
      <c r="M51" s="106">
        <f t="shared" si="0"/>
        <v>4.1999999999999997E-3</v>
      </c>
      <c r="N51" s="30"/>
      <c r="O51" s="841">
        <v>4.1999999999999997E-3</v>
      </c>
      <c r="P51" s="977"/>
      <c r="Q51" s="841">
        <v>4.1999999999999997E-3</v>
      </c>
      <c r="R51" s="977">
        <f t="shared" si="1"/>
        <v>1</v>
      </c>
    </row>
    <row r="52" spans="1:26" ht="18" customHeight="1" thickBot="1" x14ac:dyDescent="0.3">
      <c r="A52" s="408" t="s">
        <v>286</v>
      </c>
      <c r="B52" s="1612" t="s">
        <v>692</v>
      </c>
      <c r="C52" s="852"/>
      <c r="D52" s="852"/>
      <c r="E52" s="852"/>
      <c r="F52" s="852"/>
      <c r="G52" s="852"/>
      <c r="H52" s="852"/>
      <c r="I52" s="863"/>
      <c r="J52" s="1366">
        <v>171000000</v>
      </c>
      <c r="K52" s="483" t="s">
        <v>698</v>
      </c>
      <c r="L52" s="1367"/>
      <c r="M52" s="484"/>
      <c r="N52" s="1367"/>
      <c r="O52" s="1366">
        <f>'Resumen costos '!T23</f>
        <v>134024283.84217088</v>
      </c>
      <c r="P52" s="977">
        <f>(O52/J52)-1</f>
        <v>-0.21623225823291881</v>
      </c>
      <c r="Q52" s="1368">
        <v>131337617.79254881</v>
      </c>
      <c r="R52" s="977">
        <f t="shared" si="1"/>
        <v>1.0204561807559638</v>
      </c>
      <c r="T52" s="803"/>
      <c r="U52" s="1121"/>
    </row>
    <row r="53" spans="1:26" ht="18" customHeight="1" thickBot="1" x14ac:dyDescent="0.3">
      <c r="A53" s="408" t="s">
        <v>241</v>
      </c>
      <c r="B53" s="1612" t="s">
        <v>693</v>
      </c>
      <c r="C53" s="852"/>
      <c r="D53" s="852"/>
      <c r="E53" s="852"/>
      <c r="F53" s="852"/>
      <c r="G53" s="852"/>
      <c r="H53" s="852"/>
      <c r="I53" s="863"/>
      <c r="J53" s="1366">
        <v>247000000</v>
      </c>
      <c r="K53" s="483" t="s">
        <v>698</v>
      </c>
      <c r="L53" s="1367"/>
      <c r="M53" s="484"/>
      <c r="N53" s="1367"/>
      <c r="O53" s="1366">
        <f>'Resumen costos '!T24</f>
        <v>210270345.93666664</v>
      </c>
      <c r="P53" s="977">
        <f>(O53/J53)-1</f>
        <v>-0.14870305288798935</v>
      </c>
      <c r="Q53" s="1368">
        <v>206055242.64735827</v>
      </c>
      <c r="R53" s="977">
        <f t="shared" si="1"/>
        <v>1.020456180755964</v>
      </c>
      <c r="T53" s="803"/>
      <c r="U53" s="1121"/>
    </row>
    <row r="54" spans="1:26" ht="18" customHeight="1" x14ac:dyDescent="0.25">
      <c r="A54" s="408" t="s">
        <v>242</v>
      </c>
      <c r="B54" s="1612" t="s">
        <v>694</v>
      </c>
      <c r="C54" s="852"/>
      <c r="D54" s="852"/>
      <c r="E54" s="852"/>
      <c r="F54" s="852"/>
      <c r="G54" s="852"/>
      <c r="H54" s="852"/>
      <c r="I54" s="863"/>
      <c r="J54" s="1366">
        <v>389500000</v>
      </c>
      <c r="K54" s="483" t="s">
        <v>698</v>
      </c>
      <c r="L54" s="1367"/>
      <c r="M54" s="484"/>
      <c r="N54" s="1367"/>
      <c r="O54" s="1366">
        <f>'Resumen costos '!T25</f>
        <v>244761725.02041695</v>
      </c>
      <c r="P54" s="977">
        <f>(O54/J54)-1</f>
        <v>-0.37160019250213883</v>
      </c>
      <c r="Q54" s="1368">
        <v>239855203.61990952</v>
      </c>
      <c r="R54" s="977">
        <f t="shared" si="1"/>
        <v>1.020456180755964</v>
      </c>
      <c r="T54" s="803"/>
      <c r="U54" s="1121"/>
      <c r="V54" s="1121"/>
      <c r="X54" s="208"/>
      <c r="Y54" s="208"/>
      <c r="Z54" s="208">
        <f>SUM(X54:Y54)</f>
        <v>0</v>
      </c>
    </row>
    <row r="55" spans="1:26" ht="18" customHeight="1" x14ac:dyDescent="0.25">
      <c r="A55" s="188" t="s">
        <v>301</v>
      </c>
      <c r="B55" s="860" t="s">
        <v>314</v>
      </c>
      <c r="C55" s="851"/>
      <c r="D55" s="851"/>
      <c r="E55" s="851"/>
      <c r="F55" s="851"/>
      <c r="G55" s="851"/>
      <c r="H55" s="851"/>
      <c r="I55" s="861"/>
      <c r="J55" s="407">
        <v>8</v>
      </c>
      <c r="K55" s="331" t="s">
        <v>702</v>
      </c>
      <c r="L55" s="98"/>
      <c r="M55" s="106"/>
      <c r="N55" s="98"/>
      <c r="O55" s="841">
        <v>8</v>
      </c>
      <c r="P55" s="492"/>
      <c r="Q55" s="841">
        <v>8</v>
      </c>
      <c r="R55" s="493"/>
    </row>
    <row r="56" spans="1:26" ht="18" customHeight="1" x14ac:dyDescent="0.25">
      <c r="A56" s="236" t="s">
        <v>303</v>
      </c>
      <c r="B56" s="868" t="s">
        <v>282</v>
      </c>
      <c r="C56" s="855"/>
      <c r="D56" s="855"/>
      <c r="E56" s="855"/>
      <c r="F56" s="855"/>
      <c r="G56" s="855"/>
      <c r="H56" s="855"/>
      <c r="I56" s="869"/>
      <c r="J56" s="1348">
        <v>193800000</v>
      </c>
      <c r="K56" s="415" t="s">
        <v>633</v>
      </c>
      <c r="L56" s="337"/>
      <c r="M56" s="106"/>
      <c r="N56" s="337"/>
      <c r="O56" s="847">
        <f>+(0.7*O52)+(0.3*O53)</f>
        <v>156898102.4705196</v>
      </c>
      <c r="P56" s="609"/>
      <c r="Q56" s="1362">
        <v>153752905.24899164</v>
      </c>
      <c r="R56" s="494"/>
    </row>
    <row r="57" spans="1:26" ht="18" customHeight="1" x14ac:dyDescent="0.25">
      <c r="A57" s="236" t="s">
        <v>306</v>
      </c>
      <c r="B57" s="868" t="s">
        <v>292</v>
      </c>
      <c r="C57" s="855"/>
      <c r="D57" s="855"/>
      <c r="E57" s="855"/>
      <c r="F57" s="855"/>
      <c r="G57" s="855"/>
      <c r="H57" s="855"/>
      <c r="I57" s="869"/>
      <c r="J57" s="1348">
        <v>292600000</v>
      </c>
      <c r="K57" s="415" t="s">
        <v>633</v>
      </c>
      <c r="L57" s="337"/>
      <c r="M57" s="106"/>
      <c r="N57" s="337"/>
      <c r="O57" s="847">
        <f>+(0.15*O52)+(0.45*O53)+(0.4*O54)</f>
        <v>212629988.25599241</v>
      </c>
      <c r="P57" s="609"/>
      <c r="Q57" s="1362">
        <v>208367583.30815738</v>
      </c>
      <c r="R57" s="494"/>
    </row>
    <row r="58" spans="1:26" ht="18" customHeight="1" x14ac:dyDescent="0.25">
      <c r="A58" s="828" t="s">
        <v>315</v>
      </c>
      <c r="B58" s="860" t="s">
        <v>316</v>
      </c>
      <c r="C58" s="851"/>
      <c r="D58" s="851"/>
      <c r="E58" s="851"/>
      <c r="F58" s="851"/>
      <c r="G58" s="851"/>
      <c r="H58" s="851"/>
      <c r="I58" s="861"/>
      <c r="J58" s="329">
        <v>5</v>
      </c>
      <c r="K58" s="331" t="s">
        <v>702</v>
      </c>
      <c r="L58" s="98"/>
      <c r="M58" s="106"/>
      <c r="N58" s="98"/>
      <c r="O58" s="841">
        <v>10</v>
      </c>
      <c r="P58" s="492"/>
      <c r="Q58" s="1362">
        <v>10</v>
      </c>
      <c r="R58" s="493"/>
    </row>
    <row r="59" spans="1:26" ht="18" customHeight="1" x14ac:dyDescent="0.25">
      <c r="A59" s="408" t="s">
        <v>345</v>
      </c>
      <c r="B59" s="862" t="s">
        <v>695</v>
      </c>
      <c r="C59" s="852"/>
      <c r="D59" s="852"/>
      <c r="E59" s="852"/>
      <c r="F59" s="852"/>
      <c r="G59" s="852"/>
      <c r="H59" s="852"/>
      <c r="I59" s="863"/>
      <c r="J59" s="1348">
        <v>294</v>
      </c>
      <c r="K59" s="411" t="s">
        <v>698</v>
      </c>
      <c r="L59" s="337"/>
      <c r="M59" s="416"/>
      <c r="N59" s="337"/>
      <c r="O59" s="1183">
        <v>410</v>
      </c>
      <c r="P59" s="978" t="s">
        <v>886</v>
      </c>
      <c r="Q59" s="813">
        <v>410</v>
      </c>
      <c r="R59" s="608"/>
    </row>
    <row r="60" spans="1:26" ht="18" customHeight="1" x14ac:dyDescent="0.25">
      <c r="A60" s="413" t="s">
        <v>355</v>
      </c>
      <c r="B60" s="1617" t="s">
        <v>696</v>
      </c>
      <c r="C60" s="854"/>
      <c r="D60" s="854"/>
      <c r="E60" s="854"/>
      <c r="F60" s="854"/>
      <c r="G60" s="854"/>
      <c r="H60" s="854"/>
      <c r="I60" s="867"/>
      <c r="J60" s="1149">
        <v>12082640184</v>
      </c>
      <c r="K60" s="396" t="s">
        <v>700</v>
      </c>
      <c r="L60" s="98"/>
      <c r="M60" s="92"/>
      <c r="N60" s="98"/>
      <c r="O60" s="958">
        <f>'INFO SECRETARIA'!D42</f>
        <v>6886725643.698</v>
      </c>
      <c r="P60" s="492"/>
      <c r="Q60" s="1212">
        <v>4639670454.9915543</v>
      </c>
      <c r="R60" s="493"/>
    </row>
    <row r="61" spans="1:26" ht="18" customHeight="1" x14ac:dyDescent="0.25">
      <c r="A61" s="828" t="s">
        <v>356</v>
      </c>
      <c r="B61" s="860" t="s">
        <v>697</v>
      </c>
      <c r="C61" s="851"/>
      <c r="D61" s="851"/>
      <c r="E61" s="851"/>
      <c r="F61" s="851"/>
      <c r="G61" s="851"/>
      <c r="H61" s="851"/>
      <c r="I61" s="861"/>
      <c r="J61" s="329">
        <v>73.209999999999994</v>
      </c>
      <c r="K61" s="331"/>
      <c r="L61" s="98"/>
      <c r="M61" s="106"/>
      <c r="N61" s="98"/>
      <c r="O61" s="1241">
        <v>29.427623311663897</v>
      </c>
      <c r="P61" s="492"/>
      <c r="Q61" s="1357">
        <v>13.490500000000001</v>
      </c>
      <c r="R61" s="493"/>
    </row>
    <row r="62" spans="1:26" ht="15" customHeight="1" x14ac:dyDescent="0.25">
      <c r="A62" s="236" t="s">
        <v>570</v>
      </c>
      <c r="B62" s="1618" t="s">
        <v>567</v>
      </c>
      <c r="C62" s="855"/>
      <c r="D62" s="855"/>
      <c r="E62" s="855"/>
      <c r="F62" s="855"/>
      <c r="G62" s="855"/>
      <c r="H62" s="855"/>
      <c r="I62" s="869"/>
      <c r="J62" s="1149">
        <v>1030</v>
      </c>
      <c r="K62" s="396" t="s">
        <v>700</v>
      </c>
      <c r="L62" s="338"/>
      <c r="M62" s="339"/>
      <c r="N62" s="338"/>
      <c r="O62" s="1211">
        <f>Unidades!J29</f>
        <v>850</v>
      </c>
      <c r="P62" s="609"/>
      <c r="Q62" s="1357">
        <v>850</v>
      </c>
      <c r="R62" s="494"/>
    </row>
    <row r="63" spans="1:26" ht="15" customHeight="1" x14ac:dyDescent="0.25">
      <c r="A63" s="413" t="s">
        <v>571</v>
      </c>
      <c r="B63" s="866" t="s">
        <v>568</v>
      </c>
      <c r="C63" s="854"/>
      <c r="D63" s="854"/>
      <c r="E63" s="854"/>
      <c r="F63" s="854"/>
      <c r="G63" s="854"/>
      <c r="H63" s="854"/>
      <c r="I63" s="867"/>
      <c r="J63" s="1348">
        <v>445.45500000000004</v>
      </c>
      <c r="K63" s="419"/>
      <c r="L63" s="338"/>
      <c r="M63" s="339"/>
      <c r="N63" s="338"/>
      <c r="O63" s="1369">
        <f>Unidades!D10</f>
        <v>385.73369565217394</v>
      </c>
      <c r="P63" s="979"/>
      <c r="Q63" s="1357">
        <v>385.73369565217394</v>
      </c>
      <c r="R63" s="610"/>
    </row>
    <row r="64" spans="1:26" ht="15" customHeight="1" thickBot="1" x14ac:dyDescent="0.3">
      <c r="A64" s="613" t="s">
        <v>572</v>
      </c>
      <c r="B64" s="872" t="s">
        <v>569</v>
      </c>
      <c r="C64" s="873"/>
      <c r="D64" s="873"/>
      <c r="E64" s="873"/>
      <c r="F64" s="873"/>
      <c r="G64" s="873"/>
      <c r="H64" s="873"/>
      <c r="I64" s="874"/>
      <c r="J64" s="1348">
        <v>409.54499999999996</v>
      </c>
      <c r="K64" s="419"/>
      <c r="L64" s="338"/>
      <c r="M64" s="614"/>
      <c r="N64" s="338"/>
      <c r="O64" s="1369">
        <f>Unidades!D11</f>
        <v>464.26630434782612</v>
      </c>
      <c r="P64" s="979"/>
      <c r="Q64" s="1363">
        <v>464.26630434782612</v>
      </c>
      <c r="R64" s="610"/>
    </row>
    <row r="65" spans="1:18" s="216" customFormat="1" x14ac:dyDescent="0.25">
      <c r="A65" s="491"/>
      <c r="B65" s="615"/>
      <c r="J65" s="220"/>
      <c r="K65" s="495"/>
      <c r="O65" s="220"/>
      <c r="P65" s="980"/>
      <c r="Q65" s="220"/>
      <c r="R65" s="220"/>
    </row>
    <row r="66" spans="1:18" ht="13.8" thickBot="1" x14ac:dyDescent="0.3">
      <c r="B66" s="223"/>
    </row>
    <row r="67" spans="1:18" ht="21.6" thickBot="1" x14ac:dyDescent="0.3">
      <c r="B67" s="223"/>
      <c r="I67" s="820" t="s">
        <v>781</v>
      </c>
      <c r="J67" s="822"/>
      <c r="L67" s="821"/>
      <c r="M67" s="821"/>
      <c r="N67" s="821"/>
      <c r="O67" s="822">
        <f>+'Resumen de Calculo'!J51</f>
        <v>1.2822100692194272</v>
      </c>
      <c r="Q67" s="822"/>
    </row>
    <row r="68" spans="1:18" x14ac:dyDescent="0.25">
      <c r="B68" s="223"/>
      <c r="J68" s="823"/>
      <c r="O68" s="823"/>
      <c r="Q68" s="823"/>
    </row>
    <row r="69" spans="1:18" x14ac:dyDescent="0.25">
      <c r="O69" s="394"/>
      <c r="P69" s="395"/>
      <c r="Q69" s="394"/>
      <c r="R69" s="394"/>
    </row>
    <row r="70" spans="1:18" x14ac:dyDescent="0.25">
      <c r="D70" s="208"/>
      <c r="F70" s="424"/>
      <c r="I70" s="223"/>
      <c r="J70" s="394"/>
      <c r="K70" s="333"/>
      <c r="L70" s="303"/>
      <c r="M70" s="303"/>
      <c r="N70" s="303"/>
      <c r="O70" s="394"/>
      <c r="P70" s="395"/>
      <c r="Q70" s="394"/>
      <c r="R70" s="394"/>
    </row>
    <row r="71" spans="1:18" x14ac:dyDescent="0.25">
      <c r="I71" s="223"/>
      <c r="J71" s="394"/>
      <c r="O71" s="394"/>
      <c r="P71" s="395"/>
      <c r="Q71" s="394"/>
      <c r="R71" s="394"/>
    </row>
    <row r="72" spans="1:18" x14ac:dyDescent="0.25">
      <c r="I72" s="2"/>
      <c r="J72" s="395"/>
      <c r="O72" s="395"/>
      <c r="P72" s="395"/>
      <c r="Q72" s="395"/>
      <c r="R72" s="395"/>
    </row>
    <row r="73" spans="1:18" x14ac:dyDescent="0.25">
      <c r="I73" s="223"/>
      <c r="J73" s="394"/>
    </row>
    <row r="74" spans="1:18" x14ac:dyDescent="0.25">
      <c r="I74" s="223"/>
      <c r="J74" s="394"/>
    </row>
    <row r="75" spans="1:18" x14ac:dyDescent="0.25">
      <c r="I75" s="223"/>
      <c r="J75" s="394"/>
    </row>
    <row r="76" spans="1:18" x14ac:dyDescent="0.25">
      <c r="I76" s="223"/>
      <c r="J76" s="394"/>
    </row>
    <row r="77" spans="1:18" x14ac:dyDescent="0.25">
      <c r="B77" s="619"/>
      <c r="C77" s="619"/>
      <c r="D77" s="619"/>
      <c r="E77" s="619"/>
      <c r="F77" s="619"/>
      <c r="G77" s="619"/>
      <c r="H77" s="619"/>
      <c r="I77" s="623"/>
      <c r="J77" s="624"/>
      <c r="K77" s="616"/>
      <c r="L77" s="619"/>
      <c r="M77" s="619"/>
      <c r="N77" s="619"/>
      <c r="O77" s="625"/>
      <c r="P77" s="979"/>
      <c r="Q77" s="625"/>
      <c r="R77" s="625"/>
    </row>
    <row r="78" spans="1:18" x14ac:dyDescent="0.25">
      <c r="B78" s="626"/>
      <c r="C78" s="619"/>
      <c r="D78" s="619"/>
      <c r="E78" s="619"/>
      <c r="F78" s="619"/>
      <c r="G78" s="619"/>
      <c r="H78" s="619"/>
      <c r="I78" s="619"/>
      <c r="J78" s="625"/>
      <c r="K78" s="616"/>
      <c r="L78" s="619"/>
      <c r="M78" s="619"/>
      <c r="N78" s="619"/>
      <c r="O78" s="625"/>
      <c r="P78" s="979"/>
      <c r="Q78" s="625"/>
      <c r="R78" s="625"/>
    </row>
    <row r="79" spans="1:18" x14ac:dyDescent="0.25">
      <c r="B79" s="619"/>
      <c r="C79" s="619"/>
      <c r="D79" s="619"/>
      <c r="E79" s="619"/>
      <c r="F79" s="619"/>
      <c r="G79" s="619"/>
      <c r="H79" s="619"/>
      <c r="I79" s="619"/>
      <c r="J79" s="625"/>
      <c r="K79" s="616"/>
      <c r="L79" s="619"/>
      <c r="M79" s="619"/>
      <c r="N79" s="619"/>
      <c r="O79" s="625"/>
      <c r="P79" s="979"/>
      <c r="Q79" s="625"/>
      <c r="R79" s="625"/>
    </row>
    <row r="80" spans="1:18" x14ac:dyDescent="0.25">
      <c r="B80" s="619"/>
      <c r="C80" s="619"/>
      <c r="D80" s="619"/>
      <c r="E80" s="619"/>
      <c r="F80" s="619"/>
      <c r="G80" s="619"/>
      <c r="H80" s="619"/>
      <c r="I80" s="619"/>
      <c r="J80" s="625"/>
      <c r="K80" s="616"/>
      <c r="L80" s="619"/>
      <c r="M80" s="619"/>
      <c r="N80" s="619"/>
      <c r="O80" s="625"/>
      <c r="P80" s="979"/>
      <c r="Q80" s="625"/>
      <c r="R80" s="625"/>
    </row>
    <row r="81" spans="2:18" x14ac:dyDescent="0.25">
      <c r="B81" s="619"/>
      <c r="C81" s="619"/>
      <c r="D81" s="619"/>
      <c r="E81" s="619"/>
      <c r="F81" s="619"/>
      <c r="G81" s="623"/>
      <c r="H81" s="619"/>
      <c r="I81" s="619"/>
      <c r="J81" s="625"/>
      <c r="K81" s="616"/>
      <c r="L81" s="619"/>
      <c r="M81" s="619"/>
      <c r="N81" s="619"/>
      <c r="O81" s="625"/>
      <c r="P81" s="979"/>
      <c r="Q81" s="625"/>
      <c r="R81" s="625"/>
    </row>
    <row r="82" spans="2:18" x14ac:dyDescent="0.25">
      <c r="B82" s="619"/>
      <c r="C82" s="619"/>
      <c r="D82" s="619"/>
      <c r="E82" s="619"/>
      <c r="F82" s="619"/>
      <c r="G82" s="619"/>
      <c r="H82" s="619"/>
      <c r="I82" s="619"/>
      <c r="J82" s="625"/>
      <c r="K82" s="616"/>
      <c r="L82" s="619"/>
      <c r="M82" s="619"/>
      <c r="N82" s="619"/>
      <c r="O82" s="625"/>
      <c r="P82" s="979"/>
      <c r="Q82" s="625"/>
      <c r="R82" s="625"/>
    </row>
    <row r="83" spans="2:18" x14ac:dyDescent="0.25">
      <c r="B83" s="619"/>
      <c r="C83" s="619"/>
      <c r="D83" s="619"/>
      <c r="E83" s="619"/>
      <c r="F83" s="619"/>
      <c r="G83" s="623"/>
      <c r="H83" s="619"/>
      <c r="I83" s="619"/>
      <c r="J83" s="625"/>
      <c r="K83" s="616"/>
      <c r="L83" s="619"/>
      <c r="M83" s="619"/>
      <c r="N83" s="619"/>
      <c r="O83" s="625"/>
      <c r="P83" s="979"/>
      <c r="Q83" s="625"/>
      <c r="R83" s="625"/>
    </row>
    <row r="84" spans="2:18" x14ac:dyDescent="0.25">
      <c r="B84" s="619"/>
      <c r="C84" s="619"/>
      <c r="D84" s="619"/>
      <c r="E84" s="619"/>
      <c r="F84" s="619"/>
      <c r="G84" s="619"/>
      <c r="H84" s="619"/>
      <c r="I84" s="619"/>
      <c r="J84" s="625"/>
      <c r="K84" s="616"/>
      <c r="L84" s="619"/>
      <c r="M84" s="619"/>
      <c r="N84" s="621"/>
      <c r="O84" s="625"/>
      <c r="P84" s="979"/>
      <c r="Q84" s="625"/>
      <c r="R84" s="625"/>
    </row>
    <row r="85" spans="2:18" x14ac:dyDescent="0.25">
      <c r="B85" s="619"/>
      <c r="C85" s="619"/>
      <c r="D85" s="619"/>
      <c r="E85" s="619"/>
      <c r="F85" s="619"/>
      <c r="G85" s="619"/>
      <c r="H85" s="619"/>
      <c r="I85" s="619"/>
      <c r="J85" s="625"/>
      <c r="K85" s="616"/>
      <c r="L85" s="619"/>
      <c r="M85" s="619"/>
      <c r="N85" s="621"/>
      <c r="O85" s="625"/>
      <c r="P85" s="979"/>
      <c r="Q85" s="625"/>
      <c r="R85" s="625"/>
    </row>
    <row r="86" spans="2:18" x14ac:dyDescent="0.25">
      <c r="B86" s="619"/>
      <c r="C86" s="619"/>
      <c r="D86" s="619"/>
      <c r="E86" s="619"/>
      <c r="F86" s="619"/>
      <c r="G86" s="623"/>
      <c r="H86" s="619"/>
      <c r="I86" s="619"/>
      <c r="J86" s="625"/>
      <c r="K86" s="616"/>
      <c r="L86" s="619"/>
      <c r="M86" s="619"/>
      <c r="N86" s="619"/>
      <c r="O86" s="625"/>
      <c r="P86" s="979"/>
      <c r="Q86" s="625"/>
      <c r="R86" s="625"/>
    </row>
    <row r="87" spans="2:18" x14ac:dyDescent="0.25">
      <c r="B87" s="619"/>
      <c r="C87" s="619"/>
      <c r="D87" s="619"/>
      <c r="E87" s="619"/>
      <c r="F87" s="619"/>
      <c r="G87" s="619"/>
      <c r="H87" s="619"/>
      <c r="I87" s="619"/>
      <c r="J87" s="625"/>
      <c r="K87" s="616"/>
      <c r="L87" s="619"/>
      <c r="M87" s="619"/>
      <c r="N87" s="619"/>
      <c r="O87" s="625"/>
      <c r="P87" s="979"/>
      <c r="Q87" s="625"/>
      <c r="R87" s="625"/>
    </row>
    <row r="88" spans="2:18" x14ac:dyDescent="0.25">
      <c r="B88" s="619"/>
      <c r="C88" s="619"/>
      <c r="D88" s="619"/>
      <c r="E88" s="619"/>
      <c r="F88" s="619"/>
      <c r="G88" s="627"/>
      <c r="H88" s="627"/>
      <c r="I88" s="627"/>
      <c r="J88" s="628"/>
      <c r="K88" s="618"/>
      <c r="L88" s="627"/>
      <c r="M88" s="627"/>
      <c r="N88" s="627"/>
      <c r="O88" s="617"/>
      <c r="P88" s="617"/>
      <c r="Q88" s="617"/>
      <c r="R88" s="617"/>
    </row>
    <row r="89" spans="2:18" x14ac:dyDescent="0.25">
      <c r="B89" s="619"/>
      <c r="C89" s="619"/>
      <c r="D89" s="619"/>
      <c r="E89" s="619"/>
      <c r="F89" s="619"/>
      <c r="G89" s="619"/>
      <c r="H89" s="619"/>
      <c r="I89" s="619"/>
      <c r="J89" s="610"/>
      <c r="K89" s="620"/>
      <c r="L89" s="619"/>
      <c r="M89" s="619"/>
      <c r="N89" s="621"/>
      <c r="O89" s="610"/>
      <c r="P89" s="979"/>
      <c r="Q89" s="610"/>
      <c r="R89" s="610"/>
    </row>
    <row r="90" spans="2:18" x14ac:dyDescent="0.25">
      <c r="B90" s="619"/>
      <c r="C90" s="619"/>
      <c r="D90" s="619"/>
      <c r="E90" s="619"/>
      <c r="F90" s="619"/>
      <c r="G90" s="619"/>
      <c r="H90" s="619"/>
      <c r="I90" s="619"/>
      <c r="J90" s="610"/>
      <c r="K90" s="620"/>
      <c r="L90" s="619"/>
      <c r="M90" s="619"/>
      <c r="N90" s="621"/>
      <c r="O90" s="610"/>
      <c r="P90" s="979"/>
      <c r="Q90" s="610"/>
      <c r="R90" s="610"/>
    </row>
    <row r="91" spans="2:18" x14ac:dyDescent="0.25">
      <c r="B91" s="619"/>
      <c r="C91" s="619"/>
      <c r="D91" s="619"/>
      <c r="E91" s="619"/>
      <c r="F91" s="619"/>
      <c r="G91" s="623"/>
      <c r="H91" s="619"/>
      <c r="I91" s="619"/>
      <c r="J91" s="610"/>
      <c r="K91" s="620"/>
      <c r="L91" s="619"/>
      <c r="M91" s="619"/>
      <c r="N91" s="619"/>
      <c r="O91" s="610"/>
      <c r="P91" s="979"/>
      <c r="Q91" s="610"/>
      <c r="R91" s="610"/>
    </row>
    <row r="92" spans="2:18" x14ac:dyDescent="0.25">
      <c r="B92" s="619"/>
      <c r="C92" s="619"/>
      <c r="D92" s="619"/>
      <c r="E92" s="619"/>
      <c r="F92" s="619"/>
      <c r="G92" s="619"/>
      <c r="H92" s="619"/>
      <c r="I92" s="619"/>
      <c r="J92" s="625"/>
      <c r="K92" s="616"/>
      <c r="L92" s="619"/>
      <c r="M92" s="619"/>
      <c r="N92" s="619"/>
      <c r="O92" s="625"/>
      <c r="P92" s="979"/>
      <c r="Q92" s="625"/>
      <c r="R92" s="625"/>
    </row>
    <row r="93" spans="2:18" x14ac:dyDescent="0.25">
      <c r="B93" s="619"/>
      <c r="C93" s="619"/>
      <c r="D93" s="619"/>
      <c r="E93" s="619"/>
      <c r="F93" s="619"/>
      <c r="G93" s="619"/>
      <c r="H93" s="619"/>
      <c r="I93" s="619"/>
      <c r="J93" s="625"/>
      <c r="K93" s="616"/>
      <c r="L93" s="619"/>
      <c r="M93" s="619"/>
      <c r="N93" s="619"/>
      <c r="O93" s="625"/>
      <c r="P93" s="979"/>
      <c r="Q93" s="625"/>
      <c r="R93" s="625"/>
    </row>
    <row r="94" spans="2:18" x14ac:dyDescent="0.25">
      <c r="B94" s="619"/>
      <c r="C94" s="619"/>
      <c r="D94" s="619"/>
      <c r="E94" s="619"/>
      <c r="F94" s="619"/>
      <c r="G94" s="619"/>
      <c r="H94" s="619"/>
      <c r="I94" s="619"/>
      <c r="J94" s="625"/>
      <c r="K94" s="616"/>
      <c r="L94" s="619"/>
      <c r="M94" s="619"/>
      <c r="N94" s="619"/>
      <c r="O94" s="625"/>
      <c r="P94" s="979"/>
      <c r="Q94" s="625"/>
      <c r="R94" s="625"/>
    </row>
    <row r="95" spans="2:18" x14ac:dyDescent="0.25">
      <c r="B95" s="619"/>
      <c r="C95" s="619"/>
      <c r="D95" s="619"/>
      <c r="E95" s="619"/>
      <c r="F95" s="619"/>
      <c r="G95" s="619"/>
      <c r="H95" s="619"/>
      <c r="I95" s="619"/>
      <c r="J95" s="625"/>
      <c r="K95" s="616"/>
      <c r="L95" s="619"/>
      <c r="M95" s="619"/>
      <c r="N95" s="619"/>
      <c r="O95" s="625"/>
      <c r="P95" s="979"/>
      <c r="Q95" s="625"/>
      <c r="R95" s="625"/>
    </row>
    <row r="96" spans="2:18" x14ac:dyDescent="0.25">
      <c r="B96" s="619"/>
      <c r="C96" s="619"/>
      <c r="D96" s="619"/>
      <c r="E96" s="619"/>
      <c r="F96" s="619"/>
      <c r="G96" s="619"/>
      <c r="H96" s="619"/>
      <c r="I96" s="619"/>
      <c r="J96" s="625"/>
      <c r="K96" s="616"/>
      <c r="L96" s="619"/>
      <c r="M96" s="619"/>
      <c r="N96" s="619"/>
      <c r="O96" s="625"/>
      <c r="P96" s="979"/>
      <c r="Q96" s="625"/>
      <c r="R96" s="625"/>
    </row>
    <row r="97" spans="2:18" x14ac:dyDescent="0.25">
      <c r="B97" s="619"/>
      <c r="C97" s="619"/>
      <c r="D97" s="619"/>
      <c r="E97" s="619"/>
      <c r="F97" s="619"/>
      <c r="G97" s="619"/>
      <c r="H97" s="619"/>
      <c r="I97" s="619"/>
      <c r="J97" s="625"/>
      <c r="K97" s="616"/>
      <c r="L97" s="619"/>
      <c r="M97" s="619"/>
      <c r="N97" s="619"/>
      <c r="O97" s="625"/>
      <c r="P97" s="979"/>
      <c r="Q97" s="625"/>
      <c r="R97" s="625"/>
    </row>
    <row r="98" spans="2:18" x14ac:dyDescent="0.25">
      <c r="B98" s="619"/>
      <c r="C98" s="619"/>
      <c r="D98" s="619"/>
      <c r="E98" s="619"/>
      <c r="F98" s="619"/>
      <c r="G98" s="619"/>
      <c r="H98" s="619"/>
      <c r="I98" s="619"/>
      <c r="J98" s="625"/>
      <c r="K98" s="616"/>
      <c r="L98" s="619"/>
      <c r="M98" s="619"/>
      <c r="N98" s="619"/>
      <c r="O98" s="625"/>
      <c r="P98" s="979"/>
      <c r="Q98" s="625"/>
      <c r="R98" s="625"/>
    </row>
    <row r="99" spans="2:18" x14ac:dyDescent="0.25">
      <c r="B99" s="629"/>
      <c r="C99" s="629"/>
      <c r="D99" s="629"/>
      <c r="E99" s="629"/>
      <c r="F99" s="629"/>
      <c r="G99" s="629"/>
      <c r="H99" s="629"/>
      <c r="I99" s="630"/>
      <c r="J99" s="630"/>
      <c r="K99" s="622"/>
      <c r="L99" s="619"/>
      <c r="M99" s="619"/>
      <c r="N99" s="619"/>
      <c r="O99" s="625"/>
      <c r="P99" s="979"/>
      <c r="Q99" s="625"/>
      <c r="R99" s="625"/>
    </row>
    <row r="100" spans="2:18" x14ac:dyDescent="0.25">
      <c r="B100" s="619"/>
      <c r="C100" s="619"/>
      <c r="D100" s="619"/>
      <c r="E100" s="619"/>
      <c r="F100" s="619"/>
      <c r="G100" s="619"/>
      <c r="H100" s="619"/>
      <c r="I100" s="619"/>
      <c r="J100" s="625"/>
      <c r="K100" s="616"/>
      <c r="L100" s="619"/>
      <c r="M100" s="619"/>
      <c r="N100" s="619"/>
      <c r="O100" s="625"/>
      <c r="P100" s="979"/>
      <c r="Q100" s="625"/>
      <c r="R100" s="625"/>
    </row>
    <row r="101" spans="2:18" x14ac:dyDescent="0.25">
      <c r="B101" s="619"/>
      <c r="C101" s="619"/>
      <c r="D101" s="619"/>
      <c r="E101" s="619"/>
      <c r="F101" s="619"/>
      <c r="G101" s="619"/>
      <c r="H101" s="619"/>
      <c r="I101" s="619"/>
      <c r="J101" s="625"/>
      <c r="K101" s="616"/>
      <c r="L101" s="619"/>
      <c r="M101" s="619"/>
      <c r="N101" s="619"/>
      <c r="O101" s="625"/>
      <c r="P101" s="979"/>
      <c r="Q101" s="625"/>
      <c r="R101" s="625"/>
    </row>
  </sheetData>
  <autoFilter ref="A2:O71">
    <filterColumn colId="1" showButton="0"/>
    <filterColumn colId="2" showButton="0"/>
    <filterColumn colId="3" showButton="0"/>
    <filterColumn colId="4" showButton="0"/>
    <filterColumn colId="5" showButton="0"/>
    <filterColumn colId="6" showButton="0"/>
    <filterColumn colId="7" showButton="0"/>
  </autoFilter>
  <mergeCells count="10">
    <mergeCell ref="B15:I15"/>
    <mergeCell ref="M7:M8"/>
    <mergeCell ref="B2:I2"/>
    <mergeCell ref="B7:I8"/>
    <mergeCell ref="O7:O8"/>
    <mergeCell ref="A7:A8"/>
    <mergeCell ref="B6:I6"/>
    <mergeCell ref="B14:I14"/>
    <mergeCell ref="B13:I13"/>
    <mergeCell ref="Q7:Q8"/>
  </mergeCells>
  <phoneticPr fontId="6" type="noConversion"/>
  <printOptions horizontalCentered="1"/>
  <pageMargins left="0.47244094488188981" right="0.55118110236220474" top="1.0236220472440944" bottom="0.51181102362204722" header="0.31496062992125984" footer="0"/>
  <pageSetup paperSize="9" scale="38" fitToHeight="10" orientation="portrait" r:id="rId1"/>
  <headerFooter alignWithMargins="0">
    <oddHeader>&amp;L&amp;G&amp;RCdor.Lucas S. Gonzalez</oddHeader>
    <oddFooter>&amp;CPAGINA &amp;P / &amp;N</oddFooter>
  </headerFooter>
  <legacyDrawingHF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38"/>
  <sheetViews>
    <sheetView topLeftCell="A7" workbookViewId="0">
      <selection activeCell="A27" sqref="A27"/>
    </sheetView>
  </sheetViews>
  <sheetFormatPr baseColWidth="10" defaultRowHeight="13.2" x14ac:dyDescent="0.25"/>
  <cols>
    <col min="1" max="1" width="6.109375" style="1" customWidth="1"/>
    <col min="2" max="2" width="36.44140625" bestFit="1" customWidth="1"/>
    <col min="3" max="3" width="15.88671875" customWidth="1"/>
    <col min="4" max="4" width="20" customWidth="1"/>
    <col min="5" max="5" width="14.33203125" style="799" bestFit="1" customWidth="1"/>
    <col min="6" max="10" width="18.109375" style="799" customWidth="1"/>
    <col min="11" max="11" width="14.33203125" style="799" bestFit="1" customWidth="1"/>
    <col min="13" max="13" width="28.44140625" customWidth="1"/>
    <col min="14" max="14" width="14.109375" bestFit="1" customWidth="1"/>
    <col min="15" max="15" width="14.88671875" customWidth="1"/>
    <col min="16" max="16" width="15.88671875" bestFit="1" customWidth="1"/>
    <col min="17" max="17" width="20.5546875" style="799" customWidth="1"/>
    <col min="18" max="18" width="15.88671875" style="799" customWidth="1"/>
    <col min="19" max="19" width="17.88671875" style="799" customWidth="1"/>
    <col min="20" max="20" width="20.5546875" customWidth="1"/>
    <col min="21" max="21" width="13.6640625" bestFit="1" customWidth="1"/>
    <col min="22" max="22" width="15.44140625" bestFit="1" customWidth="1"/>
    <col min="26" max="26" width="17" customWidth="1"/>
    <col min="28" max="28" width="12.88671875" bestFit="1" customWidth="1"/>
    <col min="29" max="29" width="21.5546875" customWidth="1"/>
    <col min="30" max="30" width="16.33203125" customWidth="1"/>
  </cols>
  <sheetData>
    <row r="1" spans="1:16" x14ac:dyDescent="0.25">
      <c r="B1" s="1516" t="s">
        <v>760</v>
      </c>
      <c r="C1" s="990"/>
      <c r="D1" s="990"/>
      <c r="E1" s="991"/>
      <c r="F1" s="991"/>
      <c r="G1" s="991"/>
      <c r="H1" s="991"/>
      <c r="I1" s="991"/>
      <c r="J1" s="991"/>
      <c r="K1" s="992"/>
    </row>
    <row r="2" spans="1:16" ht="13.8" x14ac:dyDescent="0.3">
      <c r="B2" s="1517"/>
      <c r="C2" s="798"/>
      <c r="D2" s="798"/>
      <c r="E2" s="804"/>
      <c r="F2" s="804"/>
      <c r="G2" s="804"/>
      <c r="H2" s="804"/>
      <c r="I2" s="804"/>
      <c r="J2" s="804"/>
      <c r="K2" s="993"/>
    </row>
    <row r="3" spans="1:16" ht="13.8" x14ac:dyDescent="0.3">
      <c r="B3" s="1517"/>
      <c r="C3" s="798" t="s">
        <v>749</v>
      </c>
      <c r="D3" s="798" t="s">
        <v>766</v>
      </c>
      <c r="E3" s="804" t="s">
        <v>766</v>
      </c>
      <c r="F3" s="804" t="s">
        <v>784</v>
      </c>
      <c r="G3" s="804" t="s">
        <v>831</v>
      </c>
      <c r="H3" s="804" t="s">
        <v>853</v>
      </c>
      <c r="I3" s="804"/>
      <c r="J3" s="804" t="s">
        <v>921</v>
      </c>
      <c r="K3" s="993" t="s">
        <v>460</v>
      </c>
    </row>
    <row r="4" spans="1:16" ht="14.4" thickBot="1" x14ac:dyDescent="0.3">
      <c r="B4" s="1518"/>
      <c r="C4" s="994">
        <v>43768</v>
      </c>
      <c r="D4" s="994">
        <v>44256</v>
      </c>
      <c r="E4" s="995">
        <v>44256</v>
      </c>
      <c r="F4" s="995">
        <v>44652</v>
      </c>
      <c r="G4" s="995">
        <v>44774</v>
      </c>
      <c r="H4" s="995" t="s">
        <v>856</v>
      </c>
      <c r="I4" s="995"/>
      <c r="J4" s="995" t="s">
        <v>856</v>
      </c>
      <c r="K4" s="996"/>
    </row>
    <row r="5" spans="1:16" ht="14.4" x14ac:dyDescent="0.3">
      <c r="A5" s="997" t="s">
        <v>845</v>
      </c>
      <c r="B5" s="989" t="s">
        <v>58</v>
      </c>
      <c r="C5" s="802"/>
      <c r="D5" s="802"/>
      <c r="E5" s="811"/>
      <c r="F5" s="811"/>
      <c r="G5" s="811"/>
      <c r="H5" s="1112" t="e">
        <f>#REF!</f>
        <v>#REF!</v>
      </c>
      <c r="I5" s="1112">
        <v>312.99365538461541</v>
      </c>
      <c r="J5" s="1115">
        <f>'Facturas '!C9</f>
        <v>1120.6129316775714</v>
      </c>
      <c r="K5" s="802"/>
    </row>
    <row r="6" spans="1:16" ht="14.4" x14ac:dyDescent="0.3">
      <c r="B6" s="801" t="s">
        <v>763</v>
      </c>
      <c r="C6" s="800">
        <v>36.94</v>
      </c>
      <c r="D6" s="800" t="e">
        <f>+#REF!</f>
        <v>#REF!</v>
      </c>
      <c r="E6" s="831">
        <v>56.90084804129166</v>
      </c>
      <c r="F6" s="954">
        <v>96.64</v>
      </c>
      <c r="G6" s="954">
        <f>'Facturas '!C27</f>
        <v>0</v>
      </c>
      <c r="H6" s="954"/>
      <c r="I6" s="954"/>
      <c r="J6" s="954"/>
      <c r="K6" s="831"/>
    </row>
    <row r="7" spans="1:16" ht="14.4" x14ac:dyDescent="0.3">
      <c r="A7" s="997" t="s">
        <v>847</v>
      </c>
      <c r="B7" s="988" t="s">
        <v>486</v>
      </c>
      <c r="C7" s="800">
        <v>121.72</v>
      </c>
      <c r="D7" s="800" t="e">
        <f>+#REF!</f>
        <v>#REF!</v>
      </c>
      <c r="E7" s="831">
        <v>191.1730144207317</v>
      </c>
      <c r="F7" s="954">
        <v>317.37666666666661</v>
      </c>
      <c r="G7" s="954">
        <f>'Facturas '!C8</f>
        <v>3989.8133971291868</v>
      </c>
      <c r="H7" s="954" t="e">
        <f>#REF!</f>
        <v>#REF!</v>
      </c>
      <c r="I7" s="954">
        <v>1487.9144374043062</v>
      </c>
      <c r="J7" s="832">
        <f>'Facturas '!C8</f>
        <v>3989.8133971291868</v>
      </c>
      <c r="K7" s="954"/>
    </row>
    <row r="8" spans="1:16" ht="14.4" x14ac:dyDescent="0.3">
      <c r="A8" s="997" t="s">
        <v>846</v>
      </c>
      <c r="B8" s="988" t="s">
        <v>60</v>
      </c>
      <c r="C8" s="800"/>
      <c r="D8" s="800"/>
      <c r="E8" s="805"/>
      <c r="F8" s="829"/>
      <c r="G8" s="829"/>
      <c r="H8" s="829"/>
      <c r="I8" s="829"/>
      <c r="J8" s="829"/>
      <c r="K8" s="953"/>
    </row>
    <row r="9" spans="1:16" ht="12.75" customHeight="1" x14ac:dyDescent="0.25">
      <c r="B9" s="408" t="s">
        <v>379</v>
      </c>
      <c r="C9" s="1521" t="s">
        <v>669</v>
      </c>
      <c r="D9" s="1522"/>
      <c r="E9" s="1522"/>
      <c r="F9" s="1522"/>
      <c r="G9" s="1522"/>
      <c r="H9" s="1113" t="e">
        <f>H10+(H11*0.6)</f>
        <v>#REF!</v>
      </c>
      <c r="I9" s="1113">
        <v>227856.27424999999</v>
      </c>
      <c r="J9" s="1044">
        <f>J10+(J11*0.6)</f>
        <v>530495.79799999995</v>
      </c>
      <c r="K9" s="1041"/>
      <c r="L9" s="1042"/>
    </row>
    <row r="10" spans="1:16" ht="14.4" x14ac:dyDescent="0.3">
      <c r="B10" s="801" t="s">
        <v>771</v>
      </c>
      <c r="C10" s="800">
        <v>20450</v>
      </c>
      <c r="D10" s="800" t="e">
        <f>+#REF!</f>
        <v>#REF!</v>
      </c>
      <c r="E10" s="829">
        <v>45843.385000000002</v>
      </c>
      <c r="F10" s="829" t="e">
        <f>#REF!</f>
        <v>#REF!</v>
      </c>
      <c r="G10" s="829"/>
      <c r="H10" s="829" t="e">
        <f>#REF!</f>
        <v>#REF!</v>
      </c>
      <c r="I10" s="829">
        <v>195668.83624999999</v>
      </c>
      <c r="J10" s="1043">
        <f>'Facturas '!E82</f>
        <v>410490.5</v>
      </c>
      <c r="K10" s="953"/>
      <c r="M10" s="803"/>
    </row>
    <row r="11" spans="1:16" ht="14.4" x14ac:dyDescent="0.3">
      <c r="B11" s="801" t="s">
        <v>764</v>
      </c>
      <c r="C11" s="800">
        <v>6489.25</v>
      </c>
      <c r="D11" s="800" t="e">
        <f>+#REF!</f>
        <v>#REF!</v>
      </c>
      <c r="E11" s="829">
        <v>12892.561</v>
      </c>
      <c r="F11" s="829" t="e">
        <f>#REF!</f>
        <v>#REF!</v>
      </c>
      <c r="G11" s="829"/>
      <c r="H11" s="829" t="e">
        <f>#REF!</f>
        <v>#REF!</v>
      </c>
      <c r="I11" s="829">
        <v>53645.729999999996</v>
      </c>
      <c r="J11" s="1043">
        <f>'Facturas '!E105</f>
        <v>200008.83</v>
      </c>
      <c r="K11" s="953"/>
      <c r="N11" s="1136"/>
      <c r="O11" s="1136"/>
      <c r="P11" s="1136"/>
    </row>
    <row r="12" spans="1:16" x14ac:dyDescent="0.25">
      <c r="B12" s="408" t="s">
        <v>187</v>
      </c>
      <c r="C12" s="1523" t="s">
        <v>367</v>
      </c>
      <c r="D12" s="1524"/>
      <c r="E12" s="1524"/>
      <c r="F12" s="1524"/>
      <c r="G12" s="1524"/>
      <c r="H12" s="1114" t="e">
        <f>H13+(H14*0.6)</f>
        <v>#REF!</v>
      </c>
      <c r="I12" s="1114">
        <v>269249.68866666668</v>
      </c>
      <c r="J12" s="1045">
        <f>J13+(J14*0.6)</f>
        <v>545795.29799999995</v>
      </c>
      <c r="K12" s="953"/>
    </row>
    <row r="13" spans="1:16" ht="14.4" x14ac:dyDescent="0.3">
      <c r="B13" s="801" t="s">
        <v>770</v>
      </c>
      <c r="C13" s="800">
        <v>29912.06</v>
      </c>
      <c r="D13" s="800" t="e">
        <f>+#REF!</f>
        <v>#REF!</v>
      </c>
      <c r="E13" s="829">
        <v>56523.96385</v>
      </c>
      <c r="F13" s="829" t="e">
        <f>#REF!</f>
        <v>#REF!</v>
      </c>
      <c r="G13" s="829"/>
      <c r="H13" s="829" t="e">
        <f>#REF!</f>
        <v>#REF!</v>
      </c>
      <c r="I13" s="829">
        <v>236332.91666666666</v>
      </c>
      <c r="J13" s="1043">
        <f>'Facturas '!E94</f>
        <v>425790</v>
      </c>
      <c r="K13" s="953"/>
      <c r="L13" s="803"/>
      <c r="M13" s="803"/>
    </row>
    <row r="14" spans="1:16" ht="14.4" x14ac:dyDescent="0.3">
      <c r="B14" s="801" t="s">
        <v>764</v>
      </c>
      <c r="C14" s="800">
        <v>6839.66</v>
      </c>
      <c r="D14" s="800" t="e">
        <f>+#REF!</f>
        <v>#REF!</v>
      </c>
      <c r="E14" s="829">
        <v>13636.63</v>
      </c>
      <c r="F14" s="829" t="e">
        <f>#REF!</f>
        <v>#REF!</v>
      </c>
      <c r="G14" s="829"/>
      <c r="H14" s="829" t="e">
        <f>#REF!</f>
        <v>#REF!</v>
      </c>
      <c r="I14" s="829">
        <v>54861.286666666674</v>
      </c>
      <c r="J14" s="1043">
        <f>'Facturas '!E116</f>
        <v>200008.83</v>
      </c>
      <c r="K14" s="953"/>
    </row>
    <row r="15" spans="1:16" ht="14.4" x14ac:dyDescent="0.3">
      <c r="A15" s="997" t="s">
        <v>844</v>
      </c>
      <c r="B15" s="988" t="s">
        <v>595</v>
      </c>
      <c r="C15" s="800"/>
      <c r="D15" s="800"/>
      <c r="E15" s="830"/>
      <c r="F15" s="830"/>
      <c r="G15" s="830"/>
      <c r="H15" s="830"/>
      <c r="I15" s="830"/>
      <c r="J15" s="830"/>
      <c r="K15" s="953"/>
      <c r="N15" s="223"/>
    </row>
    <row r="16" spans="1:16" ht="14.4" x14ac:dyDescent="0.3">
      <c r="B16" s="801" t="s">
        <v>287</v>
      </c>
      <c r="C16" s="800">
        <v>4171498.29</v>
      </c>
      <c r="D16" s="805">
        <f>+C16*(1+$N$20)</f>
        <v>21399953087.631599</v>
      </c>
      <c r="E16" s="1003" t="e">
        <f>#REF!</f>
        <v>#REF!</v>
      </c>
      <c r="F16" s="1002">
        <v>25154964.7058824</v>
      </c>
      <c r="G16" s="1004">
        <v>34169620.529709801</v>
      </c>
      <c r="H16" s="1004" t="e">
        <f>#REF!</f>
        <v>#REF!</v>
      </c>
      <c r="I16" s="1004">
        <v>61101589.494134597</v>
      </c>
      <c r="J16" s="1026">
        <f>S23</f>
        <v>171000000</v>
      </c>
      <c r="K16" s="952"/>
      <c r="M16" s="799"/>
      <c r="N16" s="223" t="s">
        <v>779</v>
      </c>
      <c r="O16" s="799"/>
    </row>
    <row r="17" spans="1:31" ht="14.4" x14ac:dyDescent="0.3">
      <c r="B17" s="801" t="s">
        <v>288</v>
      </c>
      <c r="C17" s="800">
        <v>6043148.1299999999</v>
      </c>
      <c r="D17" s="805">
        <f>+C17*(1+$N$20)</f>
        <v>31001591632.825199</v>
      </c>
      <c r="E17" s="1003" t="e">
        <f>#REF!</f>
        <v>#REF!</v>
      </c>
      <c r="F17" s="1002">
        <v>29282958.914027151</v>
      </c>
      <c r="G17" s="1004">
        <v>39776942.873046726</v>
      </c>
      <c r="H17" s="1004" t="e">
        <f>#REF!</f>
        <v>#REF!</v>
      </c>
      <c r="I17" s="1004">
        <v>77170454.582977384</v>
      </c>
      <c r="J17" s="1026">
        <f>S24</f>
        <v>247000000</v>
      </c>
      <c r="K17" s="952"/>
      <c r="M17" s="432"/>
      <c r="N17" s="809" t="s">
        <v>777</v>
      </c>
      <c r="O17" s="809"/>
    </row>
    <row r="18" spans="1:31" ht="14.4" x14ac:dyDescent="0.3">
      <c r="B18" s="801" t="s">
        <v>295</v>
      </c>
      <c r="C18" s="800">
        <v>7298867.2400000002</v>
      </c>
      <c r="D18" s="805">
        <f>+C18*(1+$N$20)</f>
        <v>37443480895.889603</v>
      </c>
      <c r="E18" s="1003" t="e">
        <f>#REF!</f>
        <v>#REF!</v>
      </c>
      <c r="F18" s="1003">
        <v>34450134.300000004</v>
      </c>
      <c r="G18" s="1005">
        <v>46795852.428815693</v>
      </c>
      <c r="H18" s="1004" t="e">
        <f>#REF!</f>
        <v>#REF!</v>
      </c>
      <c r="I18" s="1004">
        <v>86905213.466669574</v>
      </c>
      <c r="J18" s="1026">
        <f>S25</f>
        <v>389500000</v>
      </c>
      <c r="K18" s="952"/>
      <c r="M18" s="799"/>
      <c r="N18" s="799"/>
      <c r="O18" s="799"/>
    </row>
    <row r="19" spans="1:31" ht="14.4" x14ac:dyDescent="0.3">
      <c r="A19" s="997" t="s">
        <v>848</v>
      </c>
      <c r="B19" s="988" t="s">
        <v>776</v>
      </c>
      <c r="C19" s="800"/>
      <c r="D19" s="805"/>
      <c r="E19" s="953"/>
      <c r="F19" s="953"/>
      <c r="G19" s="952"/>
      <c r="H19" s="952"/>
      <c r="I19" s="952"/>
      <c r="J19" s="952"/>
      <c r="K19" s="952"/>
      <c r="M19" s="810">
        <v>45139</v>
      </c>
      <c r="N19" s="1137">
        <v>3874.1</v>
      </c>
      <c r="O19" s="878"/>
    </row>
    <row r="20" spans="1:31" ht="14.4" x14ac:dyDescent="0.3">
      <c r="B20" s="801" t="s">
        <v>775</v>
      </c>
      <c r="C20" s="800">
        <v>2968.95</v>
      </c>
      <c r="D20" s="800" t="e">
        <f>+#REF!</f>
        <v>#REF!</v>
      </c>
      <c r="E20" s="829" t="e">
        <f>+D20</f>
        <v>#REF!</v>
      </c>
      <c r="F20" s="829">
        <v>8462.39</v>
      </c>
      <c r="G20" s="829"/>
      <c r="H20" s="829" t="e">
        <f>#REF!</f>
        <v>#REF!</v>
      </c>
      <c r="I20" s="829">
        <v>24692.308421052629</v>
      </c>
      <c r="J20" s="833">
        <f>'Facturas '!C11</f>
        <v>56041.155095460403</v>
      </c>
      <c r="K20" s="953"/>
      <c r="M20" s="810">
        <v>45231</v>
      </c>
      <c r="N20" s="1137">
        <v>5129.04</v>
      </c>
      <c r="O20" s="807"/>
    </row>
    <row r="21" spans="1:31" ht="15" thickBot="1" x14ac:dyDescent="0.35">
      <c r="B21" s="801" t="s">
        <v>772</v>
      </c>
      <c r="C21" s="800">
        <v>2968.95</v>
      </c>
      <c r="D21" s="800" t="e">
        <f>+#REF!</f>
        <v>#REF!</v>
      </c>
      <c r="E21" s="829" t="e">
        <f>+D21</f>
        <v>#REF!</v>
      </c>
      <c r="F21" s="829" t="e">
        <f>#REF!</f>
        <v>#REF!</v>
      </c>
      <c r="G21" s="829"/>
      <c r="H21" s="829"/>
      <c r="I21" s="829"/>
      <c r="J21" s="829"/>
      <c r="K21" s="953"/>
      <c r="M21" s="809" t="s">
        <v>778</v>
      </c>
      <c r="N21" s="808">
        <f>+N20/N19-1</f>
        <v>0.32393071939289131</v>
      </c>
      <c r="O21" s="1022">
        <f>N21+1</f>
        <v>1.3239307193928913</v>
      </c>
    </row>
    <row r="22" spans="1:31" ht="15" thickBot="1" x14ac:dyDescent="0.35">
      <c r="A22" s="997" t="s">
        <v>850</v>
      </c>
      <c r="B22" s="988" t="s">
        <v>773</v>
      </c>
      <c r="C22" s="800">
        <v>27151.67</v>
      </c>
      <c r="D22" s="800" t="e">
        <f>+#REF!</f>
        <v>#REF!</v>
      </c>
      <c r="E22" s="829" t="e">
        <f>+D22</f>
        <v>#REF!</v>
      </c>
      <c r="F22" s="829">
        <v>140805.85999999999</v>
      </c>
      <c r="G22" s="829"/>
      <c r="H22" s="829" t="e">
        <f>#REF!+#REF!</f>
        <v>#REF!</v>
      </c>
      <c r="I22" s="829">
        <v>423127.3</v>
      </c>
      <c r="J22" s="829">
        <f>('Facturas '!C158+'Facturas '!C143)*'Facturas '!C20</f>
        <v>2723834.9728509858</v>
      </c>
      <c r="K22" s="953"/>
      <c r="M22" s="1519"/>
      <c r="N22" s="1519"/>
      <c r="O22" s="1520"/>
      <c r="P22" s="1008" t="s">
        <v>460</v>
      </c>
      <c r="Q22" s="1012" t="s">
        <v>915</v>
      </c>
      <c r="R22" s="1009"/>
      <c r="S22" s="1009"/>
      <c r="T22" s="1010" t="s">
        <v>830</v>
      </c>
      <c r="Z22" s="223" t="s">
        <v>998</v>
      </c>
      <c r="AA22">
        <v>1050</v>
      </c>
      <c r="AB22" s="799"/>
      <c r="AC22" s="799"/>
      <c r="AD22" s="806"/>
      <c r="AE22" s="799"/>
    </row>
    <row r="23" spans="1:31" ht="15" thickBot="1" x14ac:dyDescent="0.35">
      <c r="A23" s="997" t="s">
        <v>851</v>
      </c>
      <c r="B23" s="988" t="s">
        <v>755</v>
      </c>
      <c r="C23" s="800">
        <v>4587.33</v>
      </c>
      <c r="D23" s="800" t="e">
        <f>+#REF!</f>
        <v>#REF!</v>
      </c>
      <c r="E23" s="829" t="e">
        <f>+D23</f>
        <v>#REF!</v>
      </c>
      <c r="F23" s="829" t="e">
        <f>#REF!</f>
        <v>#REF!</v>
      </c>
      <c r="G23" s="829"/>
      <c r="H23" s="829" t="e">
        <f>#REF!</f>
        <v>#REF!</v>
      </c>
      <c r="I23" s="829">
        <v>106340.66</v>
      </c>
      <c r="J23" s="833">
        <f>'Facturas '!C58</f>
        <v>300920.67985966738</v>
      </c>
      <c r="K23" s="953"/>
      <c r="M23" s="1013" t="s">
        <v>286</v>
      </c>
      <c r="N23" s="1014" t="s">
        <v>692</v>
      </c>
      <c r="O23" s="1015"/>
      <c r="P23" s="973">
        <v>82533935</v>
      </c>
      <c r="Q23" s="973">
        <v>131337617.79254881</v>
      </c>
      <c r="R23" s="1178">
        <f>(Q24/Q23)</f>
        <v>1.5688973662734458</v>
      </c>
      <c r="S23" s="956">
        <v>171000000</v>
      </c>
      <c r="T23" s="1007">
        <f>T24/R23</f>
        <v>134024283.84217088</v>
      </c>
      <c r="U23" s="982"/>
      <c r="V23" s="208"/>
      <c r="Y23" s="799" t="s">
        <v>936</v>
      </c>
      <c r="Z23" s="208">
        <f>T23/AA22</f>
        <v>127642.17508778178</v>
      </c>
      <c r="AB23" s="799"/>
      <c r="AC23" s="208"/>
      <c r="AD23" s="208"/>
      <c r="AE23" s="799"/>
    </row>
    <row r="24" spans="1:31" ht="15" thickBot="1" x14ac:dyDescent="0.35">
      <c r="A24" s="997" t="s">
        <v>852</v>
      </c>
      <c r="B24" s="988" t="s">
        <v>765</v>
      </c>
      <c r="C24" s="800">
        <v>800</v>
      </c>
      <c r="D24" s="800" t="e">
        <f>+#REF!</f>
        <v>#REF!</v>
      </c>
      <c r="E24" s="829" t="e">
        <f>+D24</f>
        <v>#REF!</v>
      </c>
      <c r="F24" s="829">
        <v>1589.7749999999999</v>
      </c>
      <c r="G24" s="829"/>
      <c r="H24" s="829" t="e">
        <f>#REF!</f>
        <v>#REF!</v>
      </c>
      <c r="I24" s="829">
        <v>5984.534522580625</v>
      </c>
      <c r="J24" s="833">
        <f>'Facturas '!C10</f>
        <v>12124.594842965442</v>
      </c>
      <c r="K24" s="953"/>
      <c r="M24" s="1016" t="s">
        <v>241</v>
      </c>
      <c r="N24" s="1017" t="s">
        <v>693</v>
      </c>
      <c r="O24" s="1018"/>
      <c r="P24" s="974">
        <v>112461538.46153846</v>
      </c>
      <c r="Q24" s="973">
        <v>206055242.64735827</v>
      </c>
      <c r="R24" s="1178">
        <f>(Q25/Q24)</f>
        <v>1.1640334918844861</v>
      </c>
      <c r="S24" s="956">
        <v>247000000</v>
      </c>
      <c r="T24" s="956">
        <f>Vehículos!E32</f>
        <v>210270345.93666664</v>
      </c>
      <c r="U24" s="982"/>
      <c r="Y24" s="799" t="s">
        <v>935</v>
      </c>
      <c r="Z24" s="208">
        <f>T24/AA22</f>
        <v>200257.4723206349</v>
      </c>
      <c r="AB24" s="799"/>
      <c r="AC24" s="1179"/>
      <c r="AD24" s="208"/>
      <c r="AE24" s="1121"/>
    </row>
    <row r="25" spans="1:31" ht="15" thickBot="1" x14ac:dyDescent="0.35">
      <c r="A25" s="997" t="s">
        <v>849</v>
      </c>
      <c r="B25" s="988" t="s">
        <v>774</v>
      </c>
      <c r="C25" s="800">
        <v>1107.21</v>
      </c>
      <c r="D25" s="800" t="e">
        <f>+#REF!</f>
        <v>#REF!</v>
      </c>
      <c r="E25" s="829" t="e">
        <f>+#REF!</f>
        <v>#REF!</v>
      </c>
      <c r="F25" s="829"/>
      <c r="G25" s="829"/>
      <c r="H25" s="829" t="e">
        <f>#REF!</f>
        <v>#REF!</v>
      </c>
      <c r="I25" s="829">
        <v>13892.374912587806</v>
      </c>
      <c r="J25" s="829">
        <f>'Facturas '!C13</f>
        <v>53672.18971126945</v>
      </c>
      <c r="K25" s="953"/>
      <c r="M25" s="1019" t="s">
        <v>242</v>
      </c>
      <c r="N25" s="1020" t="s">
        <v>694</v>
      </c>
      <c r="O25" s="1021"/>
      <c r="P25" s="975">
        <v>128309414.8200464</v>
      </c>
      <c r="Q25" s="973">
        <v>239855203.61990952</v>
      </c>
      <c r="R25" s="973"/>
      <c r="S25" s="956">
        <v>389500000</v>
      </c>
      <c r="T25" s="1007">
        <f>T24*R24</f>
        <v>244761725.02041695</v>
      </c>
      <c r="U25" s="982"/>
      <c r="Y25" s="799" t="s">
        <v>934</v>
      </c>
      <c r="Z25" s="208">
        <f>T25/AA22</f>
        <v>233106.40478134947</v>
      </c>
      <c r="AB25" s="208"/>
      <c r="AC25" s="208"/>
      <c r="AD25" s="1121"/>
    </row>
    <row r="26" spans="1:31" s="799" customFormat="1" ht="14.4" x14ac:dyDescent="0.3">
      <c r="A26" s="997" t="s">
        <v>843</v>
      </c>
      <c r="B26" s="988" t="s">
        <v>842</v>
      </c>
      <c r="C26" s="800"/>
      <c r="D26" s="800"/>
      <c r="E26" s="829"/>
      <c r="F26" s="985"/>
      <c r="G26" s="985"/>
      <c r="H26" s="985"/>
      <c r="I26" s="985"/>
      <c r="J26" s="985"/>
      <c r="K26" s="952"/>
      <c r="M26" s="986"/>
      <c r="N26" s="852"/>
      <c r="O26" s="852"/>
      <c r="P26" s="608"/>
      <c r="Q26" s="1023"/>
      <c r="R26" s="1023"/>
      <c r="S26" s="1024"/>
      <c r="T26" s="987"/>
      <c r="U26" s="982"/>
    </row>
    <row r="27" spans="1:31" ht="41.25" customHeight="1" x14ac:dyDescent="0.25">
      <c r="B27" s="998" t="s">
        <v>855</v>
      </c>
      <c r="C27" s="800">
        <v>45412.299999999996</v>
      </c>
      <c r="D27" s="800">
        <v>59034</v>
      </c>
      <c r="E27" s="829">
        <f>+D27</f>
        <v>59034</v>
      </c>
      <c r="F27" s="831">
        <f>(E27*1.15)*1.75</f>
        <v>118805.92499999999</v>
      </c>
      <c r="G27" s="831">
        <v>133211</v>
      </c>
      <c r="H27" s="954" t="e">
        <f>#REF!</f>
        <v>#REF!</v>
      </c>
      <c r="I27" s="954">
        <v>315099</v>
      </c>
      <c r="J27" s="832">
        <f>'Sueldo y patentes'!G3</f>
        <v>601553</v>
      </c>
      <c r="K27" s="329"/>
      <c r="O27" s="806"/>
      <c r="P27" s="1025"/>
      <c r="Q27" s="1025"/>
      <c r="R27" s="1025"/>
      <c r="S27" s="1025"/>
    </row>
    <row r="28" spans="1:31" ht="50.25" customHeight="1" x14ac:dyDescent="0.25">
      <c r="B28" s="998" t="s">
        <v>854</v>
      </c>
      <c r="C28" s="800">
        <v>37021.32</v>
      </c>
      <c r="D28" s="800">
        <v>48865</v>
      </c>
      <c r="E28" s="829">
        <f>+D28</f>
        <v>48865</v>
      </c>
      <c r="F28" s="953">
        <f>'Sueldo y patentes'!E4</f>
        <v>260200</v>
      </c>
      <c r="G28" s="953">
        <v>110002</v>
      </c>
      <c r="H28" s="953" t="e">
        <f>#REF!</f>
        <v>#REF!</v>
      </c>
      <c r="I28" s="953">
        <v>260200</v>
      </c>
      <c r="J28" s="1006">
        <f>'Sueldo y patentes'!G4</f>
        <v>496746</v>
      </c>
      <c r="K28" s="329"/>
      <c r="O28" s="806"/>
    </row>
    <row r="29" spans="1:31" ht="15" thickBot="1" x14ac:dyDescent="0.3">
      <c r="O29" s="806"/>
    </row>
    <row r="30" spans="1:31" ht="13.8" thickBot="1" x14ac:dyDescent="0.3">
      <c r="M30" s="799"/>
      <c r="N30" s="799"/>
      <c r="O30" s="799"/>
      <c r="P30" s="948" t="s">
        <v>460</v>
      </c>
      <c r="Q30" s="947" t="s">
        <v>841</v>
      </c>
      <c r="R30" s="955"/>
      <c r="S30" s="955"/>
      <c r="T30" s="876"/>
    </row>
    <row r="31" spans="1:31" ht="13.8" thickBot="1" x14ac:dyDescent="0.3">
      <c r="M31" s="408" t="s">
        <v>286</v>
      </c>
      <c r="N31" s="409" t="s">
        <v>692</v>
      </c>
      <c r="O31" s="410"/>
      <c r="P31" s="949">
        <v>26361000</v>
      </c>
      <c r="Q31" s="834">
        <v>30185957.647058878</v>
      </c>
      <c r="R31" s="1011"/>
      <c r="S31" s="956"/>
      <c r="T31" s="877"/>
    </row>
    <row r="32" spans="1:31" ht="13.8" thickBot="1" x14ac:dyDescent="0.3">
      <c r="M32" s="408" t="s">
        <v>241</v>
      </c>
      <c r="N32" s="409" t="s">
        <v>693</v>
      </c>
      <c r="O32" s="410"/>
      <c r="P32" s="950">
        <v>21461490.049852014</v>
      </c>
      <c r="Q32" s="834">
        <v>35139550.696832582</v>
      </c>
      <c r="R32" s="1011"/>
      <c r="S32" s="956"/>
      <c r="T32" s="877"/>
    </row>
    <row r="33" spans="13:20" ht="13.8" thickBot="1" x14ac:dyDescent="0.3">
      <c r="M33" s="408" t="s">
        <v>242</v>
      </c>
      <c r="N33" s="409" t="s">
        <v>694</v>
      </c>
      <c r="O33" s="410"/>
      <c r="P33" s="951">
        <v>33416296.031128407</v>
      </c>
      <c r="Q33" s="834">
        <v>41340161.160000004</v>
      </c>
      <c r="R33" s="1011"/>
      <c r="S33" s="956"/>
      <c r="T33" s="877"/>
    </row>
    <row r="34" spans="13:20" ht="14.4" x14ac:dyDescent="0.25">
      <c r="M34" s="799" t="s">
        <v>936</v>
      </c>
      <c r="O34" s="806"/>
    </row>
    <row r="35" spans="13:20" ht="14.4" x14ac:dyDescent="0.25">
      <c r="M35" s="799" t="s">
        <v>935</v>
      </c>
      <c r="O35" s="806"/>
    </row>
    <row r="36" spans="13:20" x14ac:dyDescent="0.25">
      <c r="M36" s="799" t="s">
        <v>934</v>
      </c>
      <c r="N36" s="208">
        <v>320</v>
      </c>
      <c r="O36" s="208">
        <f>N36/1.21</f>
        <v>264.4628099173554</v>
      </c>
      <c r="P36" s="1121">
        <f>O36*837</f>
        <v>221355.37190082646</v>
      </c>
    </row>
    <row r="37" spans="13:20" x14ac:dyDescent="0.25">
      <c r="M37" s="799"/>
      <c r="N37" s="799"/>
      <c r="O37" s="799"/>
      <c r="P37" s="799"/>
    </row>
    <row r="38" spans="13:20" x14ac:dyDescent="0.25">
      <c r="M38" s="799"/>
      <c r="N38" s="799"/>
      <c r="O38" s="799"/>
      <c r="P38" s="799"/>
    </row>
  </sheetData>
  <mergeCells count="4">
    <mergeCell ref="B1:B4"/>
    <mergeCell ref="M22:O22"/>
    <mergeCell ref="C9:G9"/>
    <mergeCell ref="C12:G12"/>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H201"/>
  <sheetViews>
    <sheetView topLeftCell="A58" workbookViewId="0">
      <selection activeCell="A20" sqref="A20"/>
    </sheetView>
  </sheetViews>
  <sheetFormatPr baseColWidth="10" defaultColWidth="11.44140625" defaultRowHeight="13.8" x14ac:dyDescent="0.3"/>
  <cols>
    <col min="1" max="1" width="15.5546875" style="498" customWidth="1"/>
    <col min="2" max="2" width="19.5546875" style="498" customWidth="1"/>
    <col min="3" max="3" width="17" style="498" customWidth="1"/>
    <col min="4" max="4" width="16.88671875" style="498" customWidth="1"/>
    <col min="5" max="5" width="20.5546875" style="498" customWidth="1"/>
    <col min="6" max="6" width="16.5546875" style="498" customWidth="1"/>
    <col min="7" max="7" width="16.109375" style="498" customWidth="1"/>
    <col min="8" max="8" width="13.109375" style="498" hidden="1" customWidth="1"/>
    <col min="9" max="9" width="16.33203125" style="498" customWidth="1"/>
    <col min="10" max="10" width="27.109375" style="498" customWidth="1"/>
    <col min="11" max="11" width="24.33203125" style="498" customWidth="1"/>
    <col min="12" max="12" width="15.5546875" style="498" bestFit="1" customWidth="1"/>
    <col min="13" max="13" width="22.44140625" style="498" customWidth="1"/>
    <col min="14" max="164" width="11.44140625" style="896"/>
    <col min="165" max="16384" width="11.44140625" style="498"/>
  </cols>
  <sheetData>
    <row r="1" spans="1:164" s="497" customFormat="1" ht="14.4" x14ac:dyDescent="0.3">
      <c r="A1" s="898"/>
      <c r="B1" s="898"/>
      <c r="C1" s="898"/>
      <c r="D1" s="898"/>
      <c r="E1" s="898"/>
      <c r="F1" s="898"/>
      <c r="G1" s="898"/>
      <c r="H1" s="898"/>
      <c r="I1" s="898"/>
      <c r="J1" s="898"/>
      <c r="K1" s="902"/>
      <c r="L1" s="898"/>
      <c r="M1" s="898"/>
      <c r="N1" s="893"/>
      <c r="O1" s="893"/>
      <c r="P1" s="893"/>
      <c r="Q1" s="893"/>
      <c r="R1" s="893"/>
      <c r="S1" s="893"/>
      <c r="T1" s="893"/>
      <c r="U1" s="893"/>
      <c r="V1" s="893"/>
      <c r="W1" s="893"/>
      <c r="X1" s="893"/>
      <c r="Y1" s="893"/>
      <c r="Z1" s="893"/>
      <c r="AA1" s="893"/>
      <c r="AB1" s="893"/>
      <c r="AC1" s="893"/>
      <c r="AD1" s="893"/>
      <c r="AE1" s="893"/>
      <c r="AF1" s="893"/>
      <c r="AG1" s="893"/>
      <c r="AH1" s="893"/>
      <c r="AI1" s="893"/>
      <c r="AJ1" s="893"/>
      <c r="AK1" s="893"/>
      <c r="AL1" s="893"/>
      <c r="AM1" s="893"/>
      <c r="AN1" s="893"/>
      <c r="AO1" s="893"/>
      <c r="AP1" s="893"/>
      <c r="AQ1" s="893"/>
      <c r="AR1" s="893"/>
      <c r="AS1" s="893"/>
      <c r="AT1" s="893"/>
      <c r="AU1" s="893"/>
      <c r="AV1" s="893"/>
      <c r="AW1" s="893"/>
      <c r="AX1" s="893"/>
      <c r="AY1" s="893"/>
      <c r="AZ1" s="893"/>
      <c r="BA1" s="893"/>
      <c r="BB1" s="893"/>
      <c r="BC1" s="893"/>
      <c r="BD1" s="893"/>
      <c r="BE1" s="893"/>
      <c r="BF1" s="893"/>
      <c r="BG1" s="893"/>
      <c r="BH1" s="893"/>
      <c r="BI1" s="893"/>
      <c r="BJ1" s="893"/>
      <c r="BK1" s="893"/>
      <c r="BL1" s="893"/>
      <c r="BM1" s="893"/>
      <c r="BN1" s="893"/>
      <c r="BO1" s="893"/>
      <c r="BP1" s="893"/>
      <c r="BQ1" s="893"/>
      <c r="BR1" s="893"/>
      <c r="BS1" s="893"/>
      <c r="BT1" s="893"/>
      <c r="BU1" s="893"/>
      <c r="BV1" s="893"/>
      <c r="BW1" s="893"/>
      <c r="BX1" s="893"/>
      <c r="BY1" s="893"/>
      <c r="BZ1" s="893"/>
      <c r="CA1" s="893"/>
      <c r="CB1" s="893"/>
      <c r="CC1" s="893"/>
      <c r="CD1" s="893"/>
      <c r="CE1" s="893"/>
      <c r="CF1" s="893"/>
      <c r="CG1" s="893"/>
      <c r="CH1" s="893"/>
      <c r="CI1" s="893"/>
      <c r="CJ1" s="893"/>
      <c r="CK1" s="893"/>
      <c r="CL1" s="893"/>
      <c r="CM1" s="893"/>
      <c r="CN1" s="893"/>
      <c r="CO1" s="893"/>
      <c r="CP1" s="893"/>
      <c r="CQ1" s="893"/>
      <c r="CR1" s="893"/>
      <c r="CS1" s="893"/>
      <c r="CT1" s="893"/>
      <c r="CU1" s="893"/>
      <c r="CV1" s="893"/>
      <c r="CW1" s="893"/>
      <c r="CX1" s="893"/>
      <c r="CY1" s="893"/>
      <c r="CZ1" s="893"/>
      <c r="DA1" s="893"/>
      <c r="DB1" s="893"/>
      <c r="DC1" s="893"/>
      <c r="DD1" s="893"/>
      <c r="DE1" s="893"/>
      <c r="DF1" s="893"/>
      <c r="DG1" s="893"/>
      <c r="DH1" s="893"/>
      <c r="DI1" s="893"/>
      <c r="DJ1" s="893"/>
      <c r="DK1" s="893"/>
      <c r="DL1" s="893"/>
      <c r="DM1" s="893"/>
      <c r="DN1" s="893"/>
      <c r="DO1" s="893"/>
      <c r="DP1" s="893"/>
      <c r="DQ1" s="893"/>
      <c r="DR1" s="893"/>
      <c r="DS1" s="893"/>
      <c r="DT1" s="893"/>
      <c r="DU1" s="893"/>
      <c r="DV1" s="893"/>
      <c r="DW1" s="893"/>
      <c r="DX1" s="893"/>
      <c r="DY1" s="893"/>
      <c r="DZ1" s="893"/>
      <c r="EA1" s="893"/>
      <c r="EB1" s="893"/>
      <c r="EC1" s="893"/>
      <c r="ED1" s="893"/>
      <c r="EE1" s="893"/>
      <c r="EF1" s="893"/>
      <c r="EG1" s="893"/>
      <c r="EH1" s="893"/>
      <c r="EI1" s="893"/>
      <c r="EJ1" s="893"/>
      <c r="EK1" s="893"/>
      <c r="EL1" s="893"/>
      <c r="EM1" s="893"/>
      <c r="EN1" s="893"/>
      <c r="EO1" s="893"/>
      <c r="EP1" s="893"/>
      <c r="EQ1" s="893"/>
      <c r="ER1" s="893"/>
      <c r="ES1" s="893"/>
      <c r="ET1" s="893"/>
      <c r="EU1" s="893"/>
      <c r="EV1" s="893"/>
      <c r="EW1" s="893"/>
      <c r="EX1" s="893"/>
      <c r="EY1" s="893"/>
      <c r="EZ1" s="893"/>
      <c r="FA1" s="893"/>
      <c r="FB1" s="893"/>
      <c r="FC1" s="893"/>
      <c r="FD1" s="893"/>
      <c r="FE1" s="893"/>
      <c r="FF1" s="893"/>
      <c r="FG1" s="893"/>
      <c r="FH1" s="893"/>
    </row>
    <row r="3" spans="1:164" s="897" customFormat="1" x14ac:dyDescent="0.3">
      <c r="A3" s="498"/>
      <c r="B3" s="896"/>
      <c r="C3" s="896"/>
      <c r="D3" s="1032"/>
      <c r="E3" s="1033"/>
      <c r="F3" s="498"/>
      <c r="G3" s="498"/>
      <c r="H3" s="498"/>
      <c r="I3" s="498"/>
      <c r="J3" s="498"/>
      <c r="K3" s="498"/>
      <c r="L3" s="498"/>
      <c r="M3" s="498"/>
      <c r="N3" s="896"/>
      <c r="O3" s="896"/>
      <c r="P3" s="896"/>
      <c r="Q3" s="896"/>
      <c r="R3" s="896"/>
      <c r="S3" s="896"/>
      <c r="T3" s="896"/>
      <c r="U3" s="896"/>
      <c r="V3" s="896"/>
      <c r="W3" s="896"/>
      <c r="X3" s="896"/>
      <c r="Y3" s="896"/>
      <c r="Z3" s="896"/>
      <c r="AA3" s="896"/>
      <c r="AB3" s="896"/>
      <c r="AC3" s="896"/>
      <c r="AD3" s="896"/>
      <c r="AE3" s="896"/>
      <c r="AF3" s="896"/>
      <c r="AG3" s="896"/>
      <c r="AH3" s="896"/>
      <c r="AI3" s="896"/>
      <c r="AJ3" s="896"/>
      <c r="AK3" s="896"/>
      <c r="AL3" s="896"/>
      <c r="AM3" s="896"/>
      <c r="AN3" s="896"/>
      <c r="AO3" s="896"/>
      <c r="AP3" s="896"/>
      <c r="AQ3" s="896"/>
      <c r="AR3" s="896"/>
      <c r="AS3" s="896"/>
      <c r="AT3" s="896"/>
      <c r="AU3" s="896"/>
      <c r="AV3" s="896"/>
      <c r="AW3" s="896"/>
      <c r="AX3" s="896"/>
      <c r="AY3" s="896"/>
      <c r="AZ3" s="896"/>
      <c r="BA3" s="896"/>
      <c r="BB3" s="896"/>
      <c r="BC3" s="896"/>
      <c r="BD3" s="896"/>
      <c r="BE3" s="896"/>
      <c r="BF3" s="896"/>
      <c r="BG3" s="896"/>
      <c r="BH3" s="896"/>
      <c r="BI3" s="896"/>
      <c r="BJ3" s="896"/>
      <c r="BK3" s="896"/>
      <c r="BL3" s="896"/>
      <c r="BM3" s="896"/>
      <c r="BN3" s="896"/>
      <c r="BO3" s="896"/>
      <c r="BP3" s="896"/>
      <c r="BQ3" s="896"/>
      <c r="BR3" s="896"/>
      <c r="BS3" s="896"/>
      <c r="BT3" s="896"/>
      <c r="BU3" s="896"/>
      <c r="BV3" s="896"/>
      <c r="BW3" s="896"/>
      <c r="BX3" s="896"/>
      <c r="BY3" s="896"/>
      <c r="BZ3" s="896"/>
      <c r="CA3" s="896"/>
      <c r="CB3" s="896"/>
      <c r="CC3" s="896"/>
      <c r="CD3" s="896"/>
      <c r="CE3" s="896"/>
      <c r="CF3" s="896"/>
      <c r="CG3" s="896"/>
      <c r="CH3" s="896"/>
      <c r="CI3" s="896"/>
      <c r="CJ3" s="896"/>
      <c r="CK3" s="896"/>
      <c r="CL3" s="896"/>
      <c r="CM3" s="896"/>
      <c r="CN3" s="896"/>
      <c r="CO3" s="896"/>
      <c r="CP3" s="896"/>
      <c r="CQ3" s="896"/>
      <c r="CR3" s="896"/>
      <c r="CS3" s="896"/>
      <c r="CT3" s="896"/>
      <c r="CU3" s="896"/>
      <c r="CV3" s="896"/>
      <c r="CW3" s="896"/>
      <c r="CX3" s="896"/>
      <c r="CY3" s="896"/>
      <c r="CZ3" s="896"/>
      <c r="DA3" s="896"/>
      <c r="DB3" s="896"/>
      <c r="DC3" s="896"/>
      <c r="DD3" s="896"/>
      <c r="DE3" s="896"/>
      <c r="DF3" s="896"/>
      <c r="DG3" s="896"/>
      <c r="DH3" s="896"/>
      <c r="DI3" s="896"/>
      <c r="DJ3" s="896"/>
      <c r="DK3" s="896"/>
      <c r="DL3" s="896"/>
      <c r="DM3" s="896"/>
      <c r="DN3" s="896"/>
      <c r="DO3" s="896"/>
      <c r="DP3" s="896"/>
      <c r="DQ3" s="896"/>
      <c r="DR3" s="896"/>
      <c r="DS3" s="896"/>
      <c r="DT3" s="896"/>
      <c r="DU3" s="896"/>
      <c r="DV3" s="896"/>
      <c r="DW3" s="896"/>
      <c r="DX3" s="896"/>
      <c r="DY3" s="896"/>
      <c r="DZ3" s="896"/>
      <c r="EA3" s="896"/>
      <c r="EB3" s="896"/>
      <c r="EC3" s="896"/>
      <c r="ED3" s="896"/>
      <c r="EE3" s="896"/>
      <c r="EF3" s="896"/>
      <c r="EG3" s="896"/>
      <c r="EH3" s="896"/>
      <c r="EI3" s="896"/>
      <c r="EJ3" s="896"/>
      <c r="EK3" s="896"/>
      <c r="EL3" s="896"/>
      <c r="EM3" s="896"/>
      <c r="EN3" s="896"/>
      <c r="EO3" s="896"/>
      <c r="EP3" s="896"/>
      <c r="EQ3" s="896"/>
      <c r="ER3" s="896"/>
      <c r="ES3" s="896"/>
      <c r="ET3" s="896"/>
      <c r="EU3" s="896"/>
      <c r="EV3" s="896"/>
      <c r="EW3" s="896"/>
      <c r="EX3" s="896"/>
      <c r="EY3" s="896"/>
      <c r="EZ3" s="896"/>
      <c r="FA3" s="896"/>
      <c r="FB3" s="896"/>
      <c r="FC3" s="896"/>
      <c r="FD3" s="896"/>
      <c r="FE3" s="896"/>
      <c r="FF3" s="896"/>
      <c r="FG3" s="896"/>
      <c r="FH3" s="896"/>
    </row>
    <row r="5" spans="1:164" s="559" customFormat="1" x14ac:dyDescent="0.3">
      <c r="A5" s="498"/>
      <c r="B5" s="498"/>
      <c r="C5" s="498"/>
      <c r="D5" s="498"/>
      <c r="E5" s="498"/>
      <c r="F5" s="498"/>
      <c r="G5" s="498"/>
      <c r="H5" s="498"/>
      <c r="I5" s="498"/>
      <c r="J5" s="498"/>
      <c r="K5" s="498"/>
      <c r="L5" s="498"/>
      <c r="M5" s="498"/>
      <c r="N5" s="1376"/>
      <c r="O5" s="1376"/>
      <c r="P5" s="1376"/>
      <c r="Q5" s="1376"/>
      <c r="R5" s="1376"/>
      <c r="S5" s="1376"/>
      <c r="T5" s="1376"/>
      <c r="U5" s="1376"/>
      <c r="V5" s="1376"/>
      <c r="W5" s="1376"/>
      <c r="X5" s="1376"/>
      <c r="Y5" s="1376"/>
      <c r="Z5" s="1376"/>
      <c r="AA5" s="1376"/>
      <c r="AB5" s="1376"/>
      <c r="AC5" s="1376"/>
      <c r="AD5" s="1376"/>
      <c r="AE5" s="1376"/>
      <c r="AF5" s="1376"/>
      <c r="AG5" s="1376"/>
      <c r="AH5" s="1376"/>
      <c r="AI5" s="1376"/>
      <c r="AJ5" s="1376"/>
      <c r="AK5" s="1376"/>
      <c r="AL5" s="1376"/>
      <c r="AM5" s="1376"/>
      <c r="AN5" s="1376"/>
      <c r="AO5" s="1376"/>
      <c r="AP5" s="1376"/>
      <c r="AQ5" s="1376"/>
      <c r="AR5" s="1376"/>
      <c r="AS5" s="1376"/>
      <c r="AT5" s="1376"/>
      <c r="AU5" s="1376"/>
      <c r="AV5" s="1376"/>
      <c r="AW5" s="1376"/>
      <c r="AX5" s="1376"/>
      <c r="AY5" s="1376"/>
      <c r="AZ5" s="1376"/>
      <c r="BA5" s="1376"/>
      <c r="BB5" s="1376"/>
      <c r="BC5" s="1376"/>
      <c r="BD5" s="1376"/>
      <c r="BE5" s="1376"/>
      <c r="BF5" s="1376"/>
      <c r="BG5" s="1376"/>
      <c r="BH5" s="1376"/>
      <c r="BI5" s="1376"/>
      <c r="BJ5" s="1376"/>
      <c r="BK5" s="1376"/>
      <c r="BL5" s="1376"/>
      <c r="BM5" s="1376"/>
      <c r="BN5" s="1376"/>
      <c r="BO5" s="1376"/>
      <c r="BP5" s="1376"/>
      <c r="BQ5" s="1376"/>
      <c r="BR5" s="1376"/>
      <c r="BS5" s="1376"/>
      <c r="BT5" s="1376"/>
      <c r="BU5" s="1376"/>
      <c r="BV5" s="1376"/>
      <c r="BW5" s="1376"/>
      <c r="BX5" s="1376"/>
      <c r="BY5" s="1376"/>
      <c r="BZ5" s="1376"/>
      <c r="CA5" s="1376"/>
      <c r="CB5" s="1376"/>
      <c r="CC5" s="1376"/>
      <c r="CD5" s="1376"/>
      <c r="CE5" s="1376"/>
      <c r="CF5" s="1376"/>
      <c r="CG5" s="1376"/>
      <c r="CH5" s="1376"/>
      <c r="CI5" s="1376"/>
      <c r="CJ5" s="1376"/>
      <c r="CK5" s="1376"/>
      <c r="CL5" s="1376"/>
      <c r="CM5" s="1376"/>
      <c r="CN5" s="1376"/>
      <c r="CO5" s="1376"/>
      <c r="CP5" s="1376"/>
      <c r="CQ5" s="1376"/>
      <c r="CR5" s="1376"/>
      <c r="CS5" s="1376"/>
      <c r="CT5" s="1376"/>
      <c r="CU5" s="1376"/>
      <c r="CV5" s="1376"/>
      <c r="CW5" s="1376"/>
      <c r="CX5" s="1376"/>
      <c r="CY5" s="1376"/>
      <c r="CZ5" s="1376"/>
      <c r="DA5" s="1376"/>
      <c r="DB5" s="1376"/>
      <c r="DC5" s="1376"/>
      <c r="DD5" s="1376"/>
      <c r="DE5" s="1376"/>
      <c r="DF5" s="1376"/>
      <c r="DG5" s="1376"/>
      <c r="DH5" s="1376"/>
      <c r="DI5" s="1376"/>
      <c r="DJ5" s="1376"/>
      <c r="DK5" s="1376"/>
      <c r="DL5" s="1376"/>
      <c r="DM5" s="1376"/>
      <c r="DN5" s="1376"/>
      <c r="DO5" s="1376"/>
      <c r="DP5" s="1376"/>
      <c r="DQ5" s="1376"/>
      <c r="DR5" s="1376"/>
      <c r="DS5" s="1376"/>
      <c r="DT5" s="1376"/>
      <c r="DU5" s="1376"/>
      <c r="DV5" s="1376"/>
      <c r="DW5" s="1376"/>
      <c r="DX5" s="1376"/>
      <c r="DY5" s="1376"/>
      <c r="DZ5" s="1376"/>
      <c r="EA5" s="1376"/>
      <c r="EB5" s="1376"/>
      <c r="EC5" s="1376"/>
      <c r="ED5" s="1376"/>
      <c r="EE5" s="1376"/>
      <c r="EF5" s="1376"/>
      <c r="EG5" s="1376"/>
      <c r="EH5" s="1376"/>
      <c r="EI5" s="1376"/>
      <c r="EJ5" s="1376"/>
      <c r="EK5" s="1376"/>
      <c r="EL5" s="1376"/>
      <c r="EM5" s="1376"/>
      <c r="EN5" s="1376"/>
      <c r="EO5" s="1376"/>
      <c r="EP5" s="1376"/>
      <c r="EQ5" s="1376"/>
      <c r="ER5" s="1376"/>
      <c r="ES5" s="1376"/>
      <c r="ET5" s="1376"/>
      <c r="EU5" s="1376"/>
      <c r="EV5" s="1376"/>
      <c r="EW5" s="1376"/>
      <c r="EX5" s="1376"/>
      <c r="EY5" s="1376"/>
      <c r="EZ5" s="1376"/>
      <c r="FA5" s="1376"/>
      <c r="FB5" s="1376"/>
      <c r="FC5" s="1376"/>
      <c r="FD5" s="1376"/>
      <c r="FE5" s="1376"/>
      <c r="FF5" s="1376"/>
      <c r="FG5" s="1376"/>
      <c r="FH5" s="1376"/>
    </row>
    <row r="6" spans="1:164" ht="14.4" thickBot="1" x14ac:dyDescent="0.35">
      <c r="G6" s="611" t="s">
        <v>895</v>
      </c>
    </row>
    <row r="7" spans="1:164" ht="40.200000000000003" thickBot="1" x14ac:dyDescent="0.35">
      <c r="B7" s="963" t="s">
        <v>761</v>
      </c>
      <c r="C7" s="964"/>
      <c r="E7" s="908" t="s">
        <v>811</v>
      </c>
      <c r="F7" s="909" t="s">
        <v>812</v>
      </c>
      <c r="G7" s="909" t="s">
        <v>813</v>
      </c>
      <c r="H7" s="909" t="s">
        <v>814</v>
      </c>
      <c r="I7" s="909" t="s">
        <v>790</v>
      </c>
      <c r="J7" s="909" t="s">
        <v>792</v>
      </c>
      <c r="K7" s="910" t="s">
        <v>762</v>
      </c>
      <c r="M7" s="1345" t="s">
        <v>987</v>
      </c>
    </row>
    <row r="8" spans="1:164" x14ac:dyDescent="0.3">
      <c r="B8" s="907" t="s">
        <v>815</v>
      </c>
      <c r="C8" s="1226">
        <f>I69</f>
        <v>3989.8133971291868</v>
      </c>
      <c r="E8" s="912" t="s">
        <v>816</v>
      </c>
      <c r="F8" s="1109">
        <v>15096672.300000001</v>
      </c>
      <c r="G8" s="1109">
        <v>16645442.24</v>
      </c>
      <c r="H8" s="1109"/>
      <c r="I8" s="1109">
        <v>121613.33</v>
      </c>
      <c r="J8" s="1161">
        <v>25476742</v>
      </c>
      <c r="K8" s="1340">
        <v>127537.21</v>
      </c>
      <c r="M8" s="1341">
        <v>1609189.88</v>
      </c>
    </row>
    <row r="9" spans="1:164" x14ac:dyDescent="0.3">
      <c r="B9" s="907" t="s">
        <v>868</v>
      </c>
      <c r="C9" s="1226">
        <f>F21</f>
        <v>1120.6129316775714</v>
      </c>
      <c r="D9" s="498">
        <v>14</v>
      </c>
      <c r="E9" s="916" t="s">
        <v>939</v>
      </c>
      <c r="F9" s="831">
        <f>52.5631*F12*55%</f>
        <v>636071.32941000001</v>
      </c>
      <c r="G9" s="831">
        <f>14.86*G12*55%</f>
        <v>187979.00000000003</v>
      </c>
      <c r="H9" s="831">
        <f>52.5631*H12*55%</f>
        <v>0</v>
      </c>
      <c r="I9" s="1027">
        <f>(52.5631*I12)*55%</f>
        <v>5073.7891031135005</v>
      </c>
      <c r="J9" s="1027">
        <v>3787142</v>
      </c>
      <c r="K9" s="1340">
        <v>14084.59</v>
      </c>
      <c r="M9" s="1342">
        <v>231966.2</v>
      </c>
    </row>
    <row r="10" spans="1:164" x14ac:dyDescent="0.3">
      <c r="B10" s="907" t="s">
        <v>756</v>
      </c>
      <c r="C10" s="1226">
        <f>'Hoja Llave'!Q23*C20</f>
        <v>12124.594842965442</v>
      </c>
      <c r="D10" s="498">
        <v>1.69</v>
      </c>
      <c r="E10" s="916" t="s">
        <v>950</v>
      </c>
      <c r="F10" s="831">
        <f>5.99*F12</f>
        <v>131791.98000000001</v>
      </c>
      <c r="G10" s="831">
        <f>1.6955*G12</f>
        <v>38996.5</v>
      </c>
      <c r="H10" s="831">
        <f>1.6955*H12</f>
        <v>0</v>
      </c>
      <c r="I10" s="831">
        <f>5.99*I12</f>
        <v>1051.2731530000001</v>
      </c>
      <c r="J10" s="831">
        <f>10.76*J12</f>
        <v>387360</v>
      </c>
      <c r="K10" s="1340">
        <v>1605.35</v>
      </c>
      <c r="M10" s="1342">
        <v>26438.49</v>
      </c>
    </row>
    <row r="11" spans="1:164" x14ac:dyDescent="0.3">
      <c r="B11" s="907" t="s">
        <v>817</v>
      </c>
      <c r="C11" s="1226">
        <f>C130*C20</f>
        <v>56041.155095460403</v>
      </c>
      <c r="E11" s="917" t="s">
        <v>818</v>
      </c>
      <c r="F11" s="918">
        <f>F8+F9+F10</f>
        <v>15864535.609410001</v>
      </c>
      <c r="G11" s="919">
        <f>SUM(G8:G10)</f>
        <v>16872417.740000002</v>
      </c>
      <c r="H11" s="919">
        <f>SUM(H8:H10)</f>
        <v>0</v>
      </c>
      <c r="I11" s="919">
        <f>SUM(I8:I10)</f>
        <v>127738.39225611351</v>
      </c>
      <c r="J11" s="919">
        <f>SUM(J8:J10)</f>
        <v>29651244</v>
      </c>
      <c r="K11" s="920">
        <f>SUM(K8:K10)</f>
        <v>143227.15000000002</v>
      </c>
      <c r="M11" s="1343">
        <f>SUM(M8:M10)</f>
        <v>1867594.5699999998</v>
      </c>
    </row>
    <row r="12" spans="1:164" ht="14.4" thickBot="1" x14ac:dyDescent="0.35">
      <c r="B12" s="907" t="s">
        <v>757</v>
      </c>
      <c r="C12" s="1226">
        <f>C58</f>
        <v>300920.67985966738</v>
      </c>
      <c r="E12" s="921" t="s">
        <v>819</v>
      </c>
      <c r="F12" s="1110">
        <v>22002</v>
      </c>
      <c r="G12" s="1111">
        <v>23000</v>
      </c>
      <c r="H12" s="1111"/>
      <c r="I12" s="1111">
        <v>175.50470000000001</v>
      </c>
      <c r="J12" s="1160">
        <v>36000</v>
      </c>
      <c r="K12" s="1294">
        <v>119.81</v>
      </c>
      <c r="M12" s="1344">
        <v>1785.85</v>
      </c>
    </row>
    <row r="13" spans="1:164" ht="14.4" thickBot="1" x14ac:dyDescent="0.35">
      <c r="B13" s="1528" t="s">
        <v>820</v>
      </c>
      <c r="C13" s="1226">
        <f>C172*C20</f>
        <v>53672.18971126945</v>
      </c>
      <c r="D13" s="237"/>
      <c r="E13" s="922" t="s">
        <v>821</v>
      </c>
      <c r="F13" s="923">
        <f t="shared" ref="F13:K13" si="0">F11/F12</f>
        <v>721.04970500000002</v>
      </c>
      <c r="G13" s="923">
        <f t="shared" si="0"/>
        <v>733.58338000000015</v>
      </c>
      <c r="H13" s="923" t="e">
        <f t="shared" si="0"/>
        <v>#DIV/0!</v>
      </c>
      <c r="I13" s="923">
        <f t="shared" si="0"/>
        <v>727.83459506277325</v>
      </c>
      <c r="J13" s="923">
        <f t="shared" si="0"/>
        <v>823.64566666666667</v>
      </c>
      <c r="K13" s="924">
        <f t="shared" si="0"/>
        <v>1195.4523829396546</v>
      </c>
      <c r="M13" s="1088">
        <f t="shared" ref="M13" si="1">M11/M12</f>
        <v>1045.7734804154884</v>
      </c>
    </row>
    <row r="14" spans="1:164" x14ac:dyDescent="0.3">
      <c r="B14" s="1528"/>
      <c r="C14" s="911"/>
      <c r="D14" s="237"/>
      <c r="E14" s="1106"/>
      <c r="F14" s="1107"/>
      <c r="G14" s="1107"/>
      <c r="H14" s="1107"/>
      <c r="I14" s="1107"/>
      <c r="J14" s="1107"/>
      <c r="K14" s="1107"/>
    </row>
    <row r="15" spans="1:164" x14ac:dyDescent="0.3">
      <c r="B15" s="1528"/>
      <c r="C15" s="911"/>
      <c r="D15" s="237"/>
      <c r="E15" s="1106"/>
      <c r="F15" s="1107"/>
      <c r="G15" s="1107"/>
      <c r="H15" s="1107"/>
      <c r="I15" s="1107"/>
      <c r="J15" s="1107"/>
      <c r="K15" s="1107"/>
    </row>
    <row r="16" spans="1:164" x14ac:dyDescent="0.3">
      <c r="B16" s="1528"/>
      <c r="C16" s="1240">
        <f>(C13*12)</f>
        <v>644066.27653523337</v>
      </c>
      <c r="E16" s="309"/>
      <c r="F16" s="309"/>
      <c r="G16" s="309"/>
      <c r="H16" s="309"/>
      <c r="I16" s="309"/>
      <c r="J16" s="309"/>
      <c r="K16" s="309"/>
    </row>
    <row r="17" spans="2:11" x14ac:dyDescent="0.3">
      <c r="E17" s="309"/>
      <c r="F17" s="309"/>
      <c r="G17" s="309"/>
      <c r="H17" s="309"/>
      <c r="I17" s="309"/>
      <c r="J17" s="309"/>
      <c r="K17" s="309"/>
    </row>
    <row r="18" spans="2:11" x14ac:dyDescent="0.3">
      <c r="B18" s="966" t="s">
        <v>963</v>
      </c>
      <c r="C18" s="1227">
        <v>4261.5324000000001</v>
      </c>
      <c r="E18" s="309"/>
      <c r="F18" s="309"/>
      <c r="G18" s="309"/>
      <c r="H18" s="309"/>
      <c r="I18" s="309"/>
      <c r="J18" s="309"/>
      <c r="K18" s="309"/>
    </row>
    <row r="19" spans="2:11" x14ac:dyDescent="0.3">
      <c r="B19" s="966" t="s">
        <v>976</v>
      </c>
      <c r="C19" s="1239">
        <v>7491.4314000000004</v>
      </c>
      <c r="E19" s="309"/>
      <c r="F19" s="309"/>
      <c r="G19" s="309"/>
      <c r="H19" s="309"/>
      <c r="I19" s="309"/>
      <c r="J19" s="309"/>
      <c r="K19" s="309"/>
    </row>
    <row r="20" spans="2:11" ht="14.4" thickBot="1" x14ac:dyDescent="0.35">
      <c r="B20" s="967" t="s">
        <v>943</v>
      </c>
      <c r="C20" s="968">
        <f>C19/C18</f>
        <v>1.7579196159578654</v>
      </c>
      <c r="E20" s="309"/>
      <c r="F20" s="309"/>
      <c r="G20" s="309"/>
      <c r="H20" s="309"/>
      <c r="I20" s="309"/>
      <c r="J20" s="309"/>
      <c r="K20" s="309"/>
    </row>
    <row r="21" spans="2:11" ht="14.4" thickBot="1" x14ac:dyDescent="0.35">
      <c r="E21" s="925" t="s">
        <v>822</v>
      </c>
      <c r="F21" s="1210">
        <f>(K13+M13)/2</f>
        <v>1120.6129316775714</v>
      </c>
      <c r="G21" s="309"/>
      <c r="H21" s="309"/>
      <c r="I21" s="309"/>
      <c r="J21" s="309"/>
      <c r="K21" s="309"/>
    </row>
    <row r="22" spans="2:11" x14ac:dyDescent="0.3">
      <c r="F22" s="498">
        <v>312.02</v>
      </c>
    </row>
    <row r="26" spans="2:11" ht="14.4" thickBot="1" x14ac:dyDescent="0.35">
      <c r="B26" s="799"/>
      <c r="C26" s="799"/>
      <c r="D26" s="799"/>
      <c r="E26" s="799"/>
      <c r="F26" s="799"/>
      <c r="G26" s="799"/>
      <c r="H26" s="799"/>
      <c r="I26" s="799"/>
    </row>
    <row r="27" spans="2:11" ht="14.4" thickBot="1" x14ac:dyDescent="0.35">
      <c r="B27" s="936"/>
      <c r="C27" s="926"/>
      <c r="D27" s="799"/>
      <c r="E27" s="799"/>
      <c r="F27" s="799"/>
      <c r="G27" s="799"/>
      <c r="H27" s="799"/>
      <c r="I27" s="799"/>
      <c r="J27" s="799"/>
      <c r="K27" s="799"/>
    </row>
    <row r="28" spans="2:11" ht="14.4" thickBot="1" x14ac:dyDescent="0.35">
      <c r="B28" s="799"/>
      <c r="C28" s="799"/>
      <c r="D28" s="799"/>
      <c r="E28" s="799"/>
      <c r="F28" s="799"/>
      <c r="G28" s="799"/>
      <c r="H28" s="799"/>
      <c r="I28" s="799"/>
      <c r="J28" s="799"/>
      <c r="K28" s="799"/>
    </row>
    <row r="29" spans="2:11" ht="14.4" thickBot="1" x14ac:dyDescent="0.35">
      <c r="B29" s="1525" t="s">
        <v>823</v>
      </c>
      <c r="C29" s="1526"/>
      <c r="D29" s="1526"/>
      <c r="E29" s="1526"/>
      <c r="F29" s="1526"/>
      <c r="G29" s="1526"/>
      <c r="H29" s="1527"/>
      <c r="I29" s="799"/>
      <c r="J29" s="799"/>
      <c r="K29" s="799"/>
    </row>
    <row r="30" spans="2:11" ht="27" thickBot="1" x14ac:dyDescent="0.35">
      <c r="B30" s="928" t="s">
        <v>811</v>
      </c>
      <c r="C30" s="929" t="s">
        <v>812</v>
      </c>
      <c r="D30" s="929" t="s">
        <v>813</v>
      </c>
      <c r="E30" s="929" t="s">
        <v>814</v>
      </c>
      <c r="F30" s="929" t="s">
        <v>790</v>
      </c>
      <c r="G30" s="930" t="s">
        <v>792</v>
      </c>
      <c r="H30" s="931" t="s">
        <v>762</v>
      </c>
      <c r="I30" s="799"/>
      <c r="J30" s="799"/>
      <c r="K30" s="799"/>
    </row>
    <row r="31" spans="2:11" x14ac:dyDescent="0.3">
      <c r="B31" s="937" t="s">
        <v>824</v>
      </c>
      <c r="C31" s="913"/>
      <c r="D31" s="913"/>
      <c r="E31" s="913"/>
      <c r="F31" s="913"/>
      <c r="G31" s="914"/>
      <c r="H31" s="915"/>
      <c r="I31" s="799"/>
      <c r="J31" s="799"/>
      <c r="K31" s="799"/>
    </row>
    <row r="32" spans="2:11" ht="14.4" thickBot="1" x14ac:dyDescent="0.35">
      <c r="B32" s="938" t="s">
        <v>825</v>
      </c>
      <c r="C32" s="831"/>
      <c r="D32" s="939"/>
      <c r="E32" s="831"/>
      <c r="F32" s="939"/>
      <c r="G32" s="831"/>
      <c r="H32" s="831"/>
      <c r="I32" s="799"/>
      <c r="J32" s="799"/>
      <c r="K32" s="799"/>
    </row>
    <row r="33" spans="1:164" s="904" customFormat="1" ht="14.4" thickBot="1" x14ac:dyDescent="0.35">
      <c r="A33" s="498"/>
      <c r="B33" s="935" t="s">
        <v>818</v>
      </c>
      <c r="C33" s="923" t="e">
        <f>#REF!/#REF!</f>
        <v>#REF!</v>
      </c>
      <c r="D33" s="923">
        <f>D31+K58*D32</f>
        <v>0</v>
      </c>
      <c r="E33" s="923" t="e">
        <f>#REF!/#REF!</f>
        <v>#REF!</v>
      </c>
      <c r="F33" s="923">
        <f>F31+$L58*F32</f>
        <v>0</v>
      </c>
      <c r="G33" s="923" t="e">
        <f>#REF!/#REF!</f>
        <v>#REF!</v>
      </c>
      <c r="H33" s="924" t="e">
        <f>#REF!/#REF!</f>
        <v>#REF!</v>
      </c>
      <c r="I33" s="799"/>
      <c r="J33" s="799"/>
      <c r="K33" s="799"/>
      <c r="L33" s="498"/>
      <c r="M33" s="498"/>
      <c r="N33" s="896"/>
      <c r="O33" s="896"/>
      <c r="P33" s="896"/>
      <c r="Q33" s="896"/>
      <c r="R33" s="896"/>
      <c r="S33" s="896"/>
      <c r="T33" s="896"/>
      <c r="U33" s="896"/>
      <c r="V33" s="896"/>
      <c r="W33" s="896"/>
      <c r="X33" s="896"/>
      <c r="Y33" s="896"/>
      <c r="Z33" s="896"/>
      <c r="AA33" s="896"/>
      <c r="AB33" s="896"/>
      <c r="AC33" s="896"/>
      <c r="AD33" s="896"/>
      <c r="AE33" s="896"/>
      <c r="AF33" s="896"/>
      <c r="AG33" s="896"/>
      <c r="AH33" s="896"/>
      <c r="AI33" s="896"/>
      <c r="AJ33" s="896"/>
      <c r="AK33" s="896"/>
      <c r="AL33" s="896"/>
      <c r="AM33" s="896"/>
      <c r="AN33" s="896"/>
      <c r="AO33" s="896"/>
      <c r="AP33" s="896"/>
      <c r="AQ33" s="896"/>
      <c r="AR33" s="896"/>
      <c r="AS33" s="896"/>
      <c r="AT33" s="896"/>
      <c r="AU33" s="896"/>
      <c r="AV33" s="896"/>
      <c r="AW33" s="896"/>
      <c r="AX33" s="896"/>
      <c r="AY33" s="896"/>
      <c r="AZ33" s="896"/>
      <c r="BA33" s="896"/>
      <c r="BB33" s="896"/>
      <c r="BC33" s="896"/>
      <c r="BD33" s="896"/>
      <c r="BE33" s="896"/>
      <c r="BF33" s="896"/>
      <c r="BG33" s="896"/>
      <c r="BH33" s="896"/>
      <c r="BI33" s="896"/>
      <c r="BJ33" s="896"/>
      <c r="BK33" s="896"/>
      <c r="BL33" s="896"/>
      <c r="BM33" s="896"/>
      <c r="BN33" s="896"/>
      <c r="BO33" s="896"/>
      <c r="BP33" s="896"/>
      <c r="BQ33" s="896"/>
      <c r="BR33" s="896"/>
      <c r="BS33" s="896"/>
      <c r="BT33" s="896"/>
      <c r="BU33" s="896"/>
      <c r="BV33" s="896"/>
      <c r="BW33" s="896"/>
      <c r="BX33" s="896"/>
      <c r="BY33" s="896"/>
      <c r="BZ33" s="896"/>
      <c r="CA33" s="896"/>
      <c r="CB33" s="896"/>
      <c r="CC33" s="896"/>
      <c r="CD33" s="896"/>
      <c r="CE33" s="896"/>
      <c r="CF33" s="896"/>
      <c r="CG33" s="896"/>
      <c r="CH33" s="896"/>
      <c r="CI33" s="896"/>
      <c r="CJ33" s="896"/>
      <c r="CK33" s="896"/>
      <c r="CL33" s="896"/>
      <c r="CM33" s="896"/>
      <c r="CN33" s="896"/>
      <c r="CO33" s="896"/>
      <c r="CP33" s="896"/>
      <c r="CQ33" s="896"/>
      <c r="CR33" s="896"/>
      <c r="CS33" s="896"/>
      <c r="CT33" s="896"/>
      <c r="CU33" s="896"/>
      <c r="CV33" s="896"/>
      <c r="CW33" s="896"/>
      <c r="CX33" s="896"/>
      <c r="CY33" s="896"/>
      <c r="CZ33" s="896"/>
      <c r="DA33" s="896"/>
      <c r="DB33" s="896"/>
      <c r="DC33" s="896"/>
      <c r="DD33" s="896"/>
      <c r="DE33" s="896"/>
      <c r="DF33" s="896"/>
      <c r="DG33" s="896"/>
      <c r="DH33" s="896"/>
      <c r="DI33" s="896"/>
      <c r="DJ33" s="896"/>
      <c r="DK33" s="896"/>
      <c r="DL33" s="896"/>
      <c r="DM33" s="896"/>
      <c r="DN33" s="896"/>
      <c r="DO33" s="896"/>
      <c r="DP33" s="896"/>
      <c r="DQ33" s="896"/>
      <c r="DR33" s="896"/>
      <c r="DS33" s="896"/>
      <c r="DT33" s="896"/>
      <c r="DU33" s="896"/>
      <c r="DV33" s="896"/>
      <c r="DW33" s="896"/>
      <c r="DX33" s="896"/>
      <c r="DY33" s="896"/>
      <c r="DZ33" s="896"/>
      <c r="EA33" s="896"/>
      <c r="EB33" s="896"/>
      <c r="EC33" s="896"/>
      <c r="ED33" s="896"/>
      <c r="EE33" s="896"/>
      <c r="EF33" s="896"/>
      <c r="EG33" s="896"/>
      <c r="EH33" s="896"/>
      <c r="EI33" s="896"/>
      <c r="EJ33" s="896"/>
      <c r="EK33" s="896"/>
      <c r="EL33" s="896"/>
      <c r="EM33" s="896"/>
      <c r="EN33" s="896"/>
      <c r="EO33" s="896"/>
      <c r="EP33" s="896"/>
      <c r="EQ33" s="896"/>
      <c r="ER33" s="896"/>
      <c r="ES33" s="896"/>
      <c r="ET33" s="896"/>
      <c r="EU33" s="896"/>
      <c r="EV33" s="896"/>
      <c r="EW33" s="896"/>
      <c r="EX33" s="896"/>
      <c r="EY33" s="896"/>
      <c r="EZ33" s="896"/>
      <c r="FA33" s="896"/>
      <c r="FB33" s="896"/>
      <c r="FC33" s="896"/>
      <c r="FD33" s="896"/>
      <c r="FE33" s="896"/>
      <c r="FF33" s="896"/>
      <c r="FG33" s="896"/>
      <c r="FH33" s="896"/>
    </row>
    <row r="34" spans="1:164" ht="14.4" thickBot="1" x14ac:dyDescent="0.35">
      <c r="B34" s="799"/>
      <c r="C34" s="799"/>
      <c r="D34" s="799"/>
      <c r="E34" s="799"/>
      <c r="F34" s="799"/>
      <c r="G34" s="799"/>
      <c r="H34" s="799"/>
      <c r="I34" s="799"/>
      <c r="J34" s="799"/>
      <c r="K34" s="799"/>
    </row>
    <row r="35" spans="1:164" ht="14.4" thickBot="1" x14ac:dyDescent="0.35">
      <c r="B35" s="1525" t="s">
        <v>826</v>
      </c>
      <c r="C35" s="1526"/>
      <c r="D35" s="1526"/>
      <c r="E35" s="1526"/>
      <c r="F35" s="1526"/>
      <c r="G35" s="1526"/>
      <c r="H35" s="1527"/>
      <c r="I35" s="799"/>
      <c r="J35" s="799"/>
      <c r="K35" s="799"/>
    </row>
    <row r="36" spans="1:164" s="559" customFormat="1" ht="27" thickBot="1" x14ac:dyDescent="0.35">
      <c r="A36" s="498"/>
      <c r="B36" s="928" t="s">
        <v>811</v>
      </c>
      <c r="C36" s="929" t="s">
        <v>812</v>
      </c>
      <c r="D36" s="929" t="s">
        <v>813</v>
      </c>
      <c r="E36" s="929" t="s">
        <v>814</v>
      </c>
      <c r="F36" s="929" t="s">
        <v>790</v>
      </c>
      <c r="G36" s="930" t="s">
        <v>792</v>
      </c>
      <c r="H36" s="931" t="s">
        <v>762</v>
      </c>
      <c r="I36" s="799"/>
      <c r="J36" s="799"/>
      <c r="K36" s="799"/>
      <c r="L36" s="498"/>
      <c r="M36" s="498"/>
      <c r="N36" s="1376"/>
      <c r="O36" s="1376"/>
      <c r="P36" s="1376"/>
      <c r="Q36" s="1376"/>
      <c r="R36" s="1376"/>
      <c r="S36" s="1376"/>
      <c r="T36" s="1376"/>
      <c r="U36" s="1376"/>
      <c r="V36" s="1376"/>
      <c r="W36" s="1376"/>
      <c r="X36" s="1376"/>
      <c r="Y36" s="1376"/>
      <c r="Z36" s="1376"/>
      <c r="AA36" s="1376"/>
      <c r="AB36" s="1376"/>
      <c r="AC36" s="1376"/>
      <c r="AD36" s="1376"/>
      <c r="AE36" s="1376"/>
      <c r="AF36" s="1376"/>
      <c r="AG36" s="1376"/>
      <c r="AH36" s="1376"/>
      <c r="AI36" s="1376"/>
      <c r="AJ36" s="1376"/>
      <c r="AK36" s="1376"/>
      <c r="AL36" s="1376"/>
      <c r="AM36" s="1376"/>
      <c r="AN36" s="1376"/>
      <c r="AO36" s="1376"/>
      <c r="AP36" s="1376"/>
      <c r="AQ36" s="1376"/>
      <c r="AR36" s="1376"/>
      <c r="AS36" s="1376"/>
      <c r="AT36" s="1376"/>
      <c r="AU36" s="1376"/>
      <c r="AV36" s="1376"/>
      <c r="AW36" s="1376"/>
      <c r="AX36" s="1376"/>
      <c r="AY36" s="1376"/>
      <c r="AZ36" s="1376"/>
      <c r="BA36" s="1376"/>
      <c r="BB36" s="1376"/>
      <c r="BC36" s="1376"/>
      <c r="BD36" s="1376"/>
      <c r="BE36" s="1376"/>
      <c r="BF36" s="1376"/>
      <c r="BG36" s="1376"/>
      <c r="BH36" s="1376"/>
      <c r="BI36" s="1376"/>
      <c r="BJ36" s="1376"/>
      <c r="BK36" s="1376"/>
      <c r="BL36" s="1376"/>
      <c r="BM36" s="1376"/>
      <c r="BN36" s="1376"/>
      <c r="BO36" s="1376"/>
      <c r="BP36" s="1376"/>
      <c r="BQ36" s="1376"/>
      <c r="BR36" s="1376"/>
      <c r="BS36" s="1376"/>
      <c r="BT36" s="1376"/>
      <c r="BU36" s="1376"/>
      <c r="BV36" s="1376"/>
      <c r="BW36" s="1376"/>
      <c r="BX36" s="1376"/>
      <c r="BY36" s="1376"/>
      <c r="BZ36" s="1376"/>
      <c r="CA36" s="1376"/>
      <c r="CB36" s="1376"/>
      <c r="CC36" s="1376"/>
      <c r="CD36" s="1376"/>
      <c r="CE36" s="1376"/>
      <c r="CF36" s="1376"/>
      <c r="CG36" s="1376"/>
      <c r="CH36" s="1376"/>
      <c r="CI36" s="1376"/>
      <c r="CJ36" s="1376"/>
      <c r="CK36" s="1376"/>
      <c r="CL36" s="1376"/>
      <c r="CM36" s="1376"/>
      <c r="CN36" s="1376"/>
      <c r="CO36" s="1376"/>
      <c r="CP36" s="1376"/>
      <c r="CQ36" s="1376"/>
      <c r="CR36" s="1376"/>
      <c r="CS36" s="1376"/>
      <c r="CT36" s="1376"/>
      <c r="CU36" s="1376"/>
      <c r="CV36" s="1376"/>
      <c r="CW36" s="1376"/>
      <c r="CX36" s="1376"/>
      <c r="CY36" s="1376"/>
      <c r="CZ36" s="1376"/>
      <c r="DA36" s="1376"/>
      <c r="DB36" s="1376"/>
      <c r="DC36" s="1376"/>
      <c r="DD36" s="1376"/>
      <c r="DE36" s="1376"/>
      <c r="DF36" s="1376"/>
      <c r="DG36" s="1376"/>
      <c r="DH36" s="1376"/>
      <c r="DI36" s="1376"/>
      <c r="DJ36" s="1376"/>
      <c r="DK36" s="1376"/>
      <c r="DL36" s="1376"/>
      <c r="DM36" s="1376"/>
      <c r="DN36" s="1376"/>
      <c r="DO36" s="1376"/>
      <c r="DP36" s="1376"/>
      <c r="DQ36" s="1376"/>
      <c r="DR36" s="1376"/>
      <c r="DS36" s="1376"/>
      <c r="DT36" s="1376"/>
      <c r="DU36" s="1376"/>
      <c r="DV36" s="1376"/>
      <c r="DW36" s="1376"/>
      <c r="DX36" s="1376"/>
      <c r="DY36" s="1376"/>
      <c r="DZ36" s="1376"/>
      <c r="EA36" s="1376"/>
      <c r="EB36" s="1376"/>
      <c r="EC36" s="1376"/>
      <c r="ED36" s="1376"/>
      <c r="EE36" s="1376"/>
      <c r="EF36" s="1376"/>
      <c r="EG36" s="1376"/>
      <c r="EH36" s="1376"/>
      <c r="EI36" s="1376"/>
      <c r="EJ36" s="1376"/>
      <c r="EK36" s="1376"/>
      <c r="EL36" s="1376"/>
      <c r="EM36" s="1376"/>
      <c r="EN36" s="1376"/>
      <c r="EO36" s="1376"/>
      <c r="EP36" s="1376"/>
      <c r="EQ36" s="1376"/>
      <c r="ER36" s="1376"/>
      <c r="ES36" s="1376"/>
      <c r="ET36" s="1376"/>
      <c r="EU36" s="1376"/>
      <c r="EV36" s="1376"/>
      <c r="EW36" s="1376"/>
      <c r="EX36" s="1376"/>
      <c r="EY36" s="1376"/>
      <c r="EZ36" s="1376"/>
      <c r="FA36" s="1376"/>
      <c r="FB36" s="1376"/>
      <c r="FC36" s="1376"/>
      <c r="FD36" s="1376"/>
      <c r="FE36" s="1376"/>
      <c r="FF36" s="1376"/>
      <c r="FG36" s="1376"/>
      <c r="FH36" s="1376"/>
    </row>
    <row r="37" spans="1:164" x14ac:dyDescent="0.3">
      <c r="B37" s="937" t="s">
        <v>824</v>
      </c>
      <c r="C37" s="913"/>
      <c r="D37" s="913"/>
      <c r="E37" s="913"/>
      <c r="F37" s="913">
        <v>12940941.18</v>
      </c>
      <c r="G37" s="914"/>
      <c r="H37" s="915"/>
      <c r="I37" s="799"/>
      <c r="J37" s="799"/>
      <c r="K37" s="799"/>
    </row>
    <row r="38" spans="1:164" ht="14.4" thickBot="1" x14ac:dyDescent="0.35">
      <c r="B38" s="938" t="s">
        <v>825</v>
      </c>
      <c r="C38" s="831"/>
      <c r="D38" s="939"/>
      <c r="E38" s="831"/>
      <c r="F38" s="939">
        <v>84162.9</v>
      </c>
      <c r="G38" s="831"/>
      <c r="H38" s="831"/>
      <c r="I38" s="799"/>
      <c r="J38" s="799"/>
      <c r="K38" s="799"/>
    </row>
    <row r="39" spans="1:164" ht="14.4" thickBot="1" x14ac:dyDescent="0.35">
      <c r="B39" s="935" t="s">
        <v>818</v>
      </c>
      <c r="C39" s="923" t="e">
        <f>#REF!/#REF!</f>
        <v>#REF!</v>
      </c>
      <c r="D39" s="923">
        <f>D37+K64*D38</f>
        <v>0</v>
      </c>
      <c r="E39" s="923" t="e">
        <f>#REF!/#REF!</f>
        <v>#REF!</v>
      </c>
      <c r="F39" s="923">
        <f>F37+$K64*F38</f>
        <v>37179856.379999995</v>
      </c>
      <c r="G39" s="923" t="e">
        <f>#REF!/#REF!</f>
        <v>#REF!</v>
      </c>
      <c r="H39" s="924" t="e">
        <f>#REF!/#REF!</f>
        <v>#REF!</v>
      </c>
      <c r="I39" s="799"/>
      <c r="J39" s="799"/>
      <c r="K39" s="799"/>
    </row>
    <row r="40" spans="1:164" x14ac:dyDescent="0.3">
      <c r="B40" s="799"/>
      <c r="C40" s="799"/>
      <c r="D40" s="799"/>
      <c r="E40" s="799"/>
      <c r="F40" s="799"/>
      <c r="G40" s="799"/>
      <c r="H40" s="799"/>
      <c r="I40" s="799"/>
      <c r="J40" s="799"/>
      <c r="K40" s="799"/>
    </row>
    <row r="41" spans="1:164" ht="14.4" thickBot="1" x14ac:dyDescent="0.35">
      <c r="B41" s="799"/>
      <c r="C41" s="799"/>
      <c r="D41" s="799"/>
      <c r="E41" s="799"/>
      <c r="F41" s="799"/>
      <c r="G41" s="799"/>
      <c r="H41" s="799"/>
      <c r="I41" s="799"/>
      <c r="J41" s="799"/>
      <c r="K41" s="799"/>
    </row>
    <row r="42" spans="1:164" ht="14.4" thickBot="1" x14ac:dyDescent="0.35">
      <c r="B42" s="1525" t="s">
        <v>828</v>
      </c>
      <c r="C42" s="1526"/>
      <c r="D42" s="1526"/>
      <c r="E42" s="1526"/>
      <c r="F42" s="1526"/>
      <c r="G42" s="1526"/>
      <c r="H42" s="1527"/>
      <c r="I42" s="799"/>
      <c r="J42" s="799"/>
      <c r="K42" s="799"/>
    </row>
    <row r="43" spans="1:164" ht="27" thickBot="1" x14ac:dyDescent="0.35">
      <c r="B43" s="928" t="s">
        <v>811</v>
      </c>
      <c r="C43" s="929" t="s">
        <v>812</v>
      </c>
      <c r="D43" s="929" t="s">
        <v>813</v>
      </c>
      <c r="E43" s="929" t="s">
        <v>814</v>
      </c>
      <c r="F43" s="929" t="s">
        <v>790</v>
      </c>
      <c r="G43" s="930" t="s">
        <v>792</v>
      </c>
      <c r="H43" s="930" t="s">
        <v>762</v>
      </c>
      <c r="I43" s="1214" t="s">
        <v>951</v>
      </c>
      <c r="J43" s="799"/>
      <c r="K43" s="940" t="s">
        <v>922</v>
      </c>
      <c r="L43" s="1157">
        <v>828.25</v>
      </c>
    </row>
    <row r="44" spans="1:164" x14ac:dyDescent="0.3">
      <c r="B44" s="937" t="s">
        <v>824</v>
      </c>
      <c r="C44" s="913"/>
      <c r="D44" s="913">
        <v>75194117.650000006</v>
      </c>
      <c r="E44" s="913">
        <f>284162*365.5</f>
        <v>103861211</v>
      </c>
      <c r="F44" s="913"/>
      <c r="G44" s="914"/>
      <c r="H44" s="914"/>
      <c r="I44" s="831">
        <v>90497737</v>
      </c>
      <c r="J44" s="799"/>
      <c r="K44" s="799"/>
    </row>
    <row r="45" spans="1:164" x14ac:dyDescent="0.3">
      <c r="B45" s="938" t="s">
        <v>825</v>
      </c>
      <c r="C45" s="831"/>
      <c r="D45" s="939"/>
      <c r="E45" s="831">
        <f>135746.61*823.5</f>
        <v>111787333.33499999</v>
      </c>
      <c r="F45" s="831"/>
      <c r="G45" s="831"/>
      <c r="H45" s="1213"/>
      <c r="I45" s="831">
        <v>78330859</v>
      </c>
      <c r="J45" s="799"/>
      <c r="K45" s="799"/>
    </row>
    <row r="46" spans="1:164" ht="14.4" thickBot="1" x14ac:dyDescent="0.35">
      <c r="B46" s="943" t="s">
        <v>829</v>
      </c>
      <c r="C46" s="944"/>
      <c r="D46" s="945"/>
      <c r="E46" s="831">
        <f>E44+E45</f>
        <v>215648544.33499998</v>
      </c>
      <c r="F46" s="944"/>
      <c r="G46" s="944"/>
      <c r="H46" s="946"/>
      <c r="I46" s="831">
        <f>SUM(I44:I45)</f>
        <v>168828596</v>
      </c>
      <c r="J46" s="799"/>
      <c r="K46" s="799" t="s">
        <v>923</v>
      </c>
    </row>
    <row r="47" spans="1:164" ht="14.4" thickBot="1" x14ac:dyDescent="0.35">
      <c r="B47" s="935" t="s">
        <v>818</v>
      </c>
      <c r="C47" s="923" t="e">
        <f>#REF!/#REF!</f>
        <v>#REF!</v>
      </c>
      <c r="D47" s="923"/>
      <c r="E47" s="923">
        <f>E46</f>
        <v>215648544.33499998</v>
      </c>
      <c r="F47" s="923" t="e">
        <f>#REF!/#REF!</f>
        <v>#REF!</v>
      </c>
      <c r="G47" s="923" t="e">
        <f>#REF!/#REF!</f>
        <v>#REF!</v>
      </c>
      <c r="H47" s="1158" t="e">
        <f>#REF!/#REF!</f>
        <v>#REF!</v>
      </c>
      <c r="I47" s="1215">
        <f>I46</f>
        <v>168828596</v>
      </c>
      <c r="J47" s="799"/>
      <c r="K47" s="208">
        <f>E46/L43</f>
        <v>260366.48878357981</v>
      </c>
    </row>
    <row r="48" spans="1:164" x14ac:dyDescent="0.3">
      <c r="B48" s="799"/>
      <c r="C48" s="799"/>
      <c r="D48" s="799"/>
      <c r="E48" s="799"/>
      <c r="F48" s="799"/>
      <c r="G48" s="799"/>
      <c r="H48" s="799"/>
      <c r="I48" s="799"/>
      <c r="J48" s="799"/>
      <c r="K48" s="799"/>
    </row>
    <row r="49" spans="1:164" x14ac:dyDescent="0.3">
      <c r="J49" s="799"/>
      <c r="K49" s="799"/>
    </row>
    <row r="50" spans="1:164" x14ac:dyDescent="0.3">
      <c r="J50" s="799"/>
      <c r="K50" s="799"/>
    </row>
    <row r="51" spans="1:164" x14ac:dyDescent="0.3">
      <c r="J51" s="799"/>
      <c r="K51" s="799"/>
    </row>
    <row r="52" spans="1:164" x14ac:dyDescent="0.3">
      <c r="B52" s="1534" t="s">
        <v>832</v>
      </c>
      <c r="C52" s="1534"/>
      <c r="J52" s="799"/>
      <c r="K52" s="799"/>
    </row>
    <row r="53" spans="1:164" x14ac:dyDescent="0.3">
      <c r="B53" s="498" t="s">
        <v>787</v>
      </c>
      <c r="C53" s="1105">
        <v>6600</v>
      </c>
      <c r="J53" s="799"/>
      <c r="K53" s="799"/>
    </row>
    <row r="54" spans="1:164" x14ac:dyDescent="0.3">
      <c r="B54" s="498" t="s">
        <v>785</v>
      </c>
      <c r="C54" s="1105">
        <f>(9800+12900)/2</f>
        <v>11350</v>
      </c>
      <c r="J54" s="799"/>
      <c r="K54" s="799"/>
    </row>
    <row r="55" spans="1:164" x14ac:dyDescent="0.3">
      <c r="B55" s="1153" t="s">
        <v>833</v>
      </c>
      <c r="C55" s="1105">
        <f>(15500+17460+23500)/2</f>
        <v>28230</v>
      </c>
      <c r="J55" s="799"/>
      <c r="K55" s="799"/>
    </row>
    <row r="56" spans="1:164" x14ac:dyDescent="0.3">
      <c r="B56" s="1153" t="s">
        <v>786</v>
      </c>
      <c r="C56" s="1105">
        <v>21460</v>
      </c>
      <c r="J56" s="799"/>
      <c r="K56" s="799"/>
    </row>
    <row r="57" spans="1:164" x14ac:dyDescent="0.3">
      <c r="B57" s="498" t="s">
        <v>834</v>
      </c>
      <c r="C57" s="537">
        <f>C53*2+C54*2+C55+C56</f>
        <v>85590</v>
      </c>
      <c r="J57" s="799"/>
      <c r="K57" s="799"/>
    </row>
    <row r="58" spans="1:164" x14ac:dyDescent="0.3">
      <c r="B58" s="1035" t="s">
        <v>818</v>
      </c>
      <c r="C58" s="1034">
        <f>C57*2*C20</f>
        <v>300920.67985966738</v>
      </c>
      <c r="J58" s="799"/>
      <c r="K58" s="799"/>
    </row>
    <row r="59" spans="1:164" ht="14.4" thickBot="1" x14ac:dyDescent="0.35">
      <c r="J59" s="799"/>
      <c r="K59" s="799"/>
    </row>
    <row r="60" spans="1:164" ht="14.4" thickBot="1" x14ac:dyDescent="0.35">
      <c r="B60" s="936" t="s">
        <v>822</v>
      </c>
      <c r="C60" s="926">
        <f>I69</f>
        <v>3989.8133971291868</v>
      </c>
      <c r="J60" s="799"/>
      <c r="K60" s="799"/>
    </row>
    <row r="61" spans="1:164" s="906" customFormat="1" x14ac:dyDescent="0.3">
      <c r="A61" s="498"/>
      <c r="B61" s="498"/>
      <c r="C61" s="498"/>
      <c r="D61" s="498"/>
      <c r="E61" s="498"/>
      <c r="F61" s="498"/>
      <c r="G61" s="498"/>
      <c r="H61" s="498"/>
      <c r="I61" s="498"/>
      <c r="J61" s="799"/>
      <c r="K61" s="799"/>
      <c r="L61" s="498"/>
      <c r="M61" s="498"/>
      <c r="N61" s="896"/>
      <c r="O61" s="896"/>
      <c r="P61" s="896"/>
      <c r="Q61" s="896"/>
      <c r="R61" s="896"/>
      <c r="S61" s="896"/>
      <c r="T61" s="896"/>
      <c r="U61" s="896"/>
      <c r="V61" s="896"/>
      <c r="W61" s="896"/>
      <c r="X61" s="896"/>
      <c r="Y61" s="896"/>
      <c r="Z61" s="896"/>
      <c r="AA61" s="896"/>
      <c r="AB61" s="896"/>
      <c r="AC61" s="896"/>
      <c r="AD61" s="896"/>
      <c r="AE61" s="896"/>
      <c r="AF61" s="896"/>
      <c r="AG61" s="896"/>
      <c r="AH61" s="896"/>
      <c r="AI61" s="896"/>
      <c r="AJ61" s="896"/>
      <c r="AK61" s="896"/>
      <c r="AL61" s="896"/>
      <c r="AM61" s="896"/>
      <c r="AN61" s="896"/>
      <c r="AO61" s="896"/>
      <c r="AP61" s="896"/>
      <c r="AQ61" s="896"/>
      <c r="AR61" s="896"/>
      <c r="AS61" s="896"/>
      <c r="AT61" s="896"/>
      <c r="AU61" s="896"/>
      <c r="AV61" s="896"/>
      <c r="AW61" s="896"/>
      <c r="AX61" s="896"/>
      <c r="AY61" s="896"/>
      <c r="AZ61" s="896"/>
      <c r="BA61" s="896"/>
      <c r="BB61" s="896"/>
      <c r="BC61" s="896"/>
      <c r="BD61" s="896"/>
      <c r="BE61" s="896"/>
      <c r="BF61" s="896"/>
      <c r="BG61" s="896"/>
      <c r="BH61" s="896"/>
      <c r="BI61" s="896"/>
      <c r="BJ61" s="896"/>
      <c r="BK61" s="896"/>
      <c r="BL61" s="896"/>
      <c r="BM61" s="896"/>
      <c r="BN61" s="896"/>
      <c r="BO61" s="896"/>
      <c r="BP61" s="896"/>
      <c r="BQ61" s="896"/>
      <c r="BR61" s="896"/>
      <c r="BS61" s="896"/>
      <c r="BT61" s="896"/>
      <c r="BU61" s="896"/>
      <c r="BV61" s="896"/>
      <c r="BW61" s="896"/>
      <c r="BX61" s="896"/>
      <c r="BY61" s="896"/>
      <c r="BZ61" s="896"/>
      <c r="CA61" s="896"/>
      <c r="CB61" s="896"/>
      <c r="CC61" s="896"/>
      <c r="CD61" s="896"/>
      <c r="CE61" s="896"/>
      <c r="CF61" s="896"/>
      <c r="CG61" s="896"/>
      <c r="CH61" s="896"/>
      <c r="CI61" s="896"/>
      <c r="CJ61" s="896"/>
      <c r="CK61" s="896"/>
      <c r="CL61" s="896"/>
      <c r="CM61" s="896"/>
      <c r="CN61" s="896"/>
      <c r="CO61" s="896"/>
      <c r="CP61" s="896"/>
      <c r="CQ61" s="896"/>
      <c r="CR61" s="896"/>
      <c r="CS61" s="896"/>
      <c r="CT61" s="896"/>
      <c r="CU61" s="896"/>
      <c r="CV61" s="896"/>
      <c r="CW61" s="896"/>
      <c r="CX61" s="896"/>
      <c r="CY61" s="896"/>
      <c r="CZ61" s="896"/>
      <c r="DA61" s="896"/>
      <c r="DB61" s="896"/>
      <c r="DC61" s="896"/>
      <c r="DD61" s="896"/>
      <c r="DE61" s="896"/>
      <c r="DF61" s="896"/>
      <c r="DG61" s="896"/>
      <c r="DH61" s="896"/>
      <c r="DI61" s="896"/>
      <c r="DJ61" s="896"/>
      <c r="DK61" s="896"/>
      <c r="DL61" s="896"/>
      <c r="DM61" s="896"/>
      <c r="DN61" s="896"/>
      <c r="DO61" s="896"/>
      <c r="DP61" s="896"/>
      <c r="DQ61" s="896"/>
      <c r="DR61" s="896"/>
      <c r="DS61" s="896"/>
      <c r="DT61" s="896"/>
      <c r="DU61" s="896"/>
      <c r="DV61" s="896"/>
      <c r="DW61" s="896"/>
      <c r="DX61" s="896"/>
      <c r="DY61" s="896"/>
      <c r="DZ61" s="896"/>
      <c r="EA61" s="896"/>
      <c r="EB61" s="896"/>
      <c r="EC61" s="896"/>
      <c r="ED61" s="896"/>
      <c r="EE61" s="896"/>
      <c r="EF61" s="896"/>
      <c r="EG61" s="896"/>
      <c r="EH61" s="896"/>
      <c r="EI61" s="896"/>
      <c r="EJ61" s="896"/>
      <c r="EK61" s="896"/>
      <c r="EL61" s="896"/>
      <c r="EM61" s="896"/>
      <c r="EN61" s="896"/>
      <c r="EO61" s="896"/>
      <c r="EP61" s="896"/>
      <c r="EQ61" s="896"/>
      <c r="ER61" s="896"/>
      <c r="ES61" s="896"/>
      <c r="ET61" s="896"/>
      <c r="EU61" s="896"/>
      <c r="EV61" s="896"/>
      <c r="EW61" s="896"/>
      <c r="EX61" s="896"/>
      <c r="EY61" s="896"/>
      <c r="EZ61" s="896"/>
      <c r="FA61" s="896"/>
      <c r="FB61" s="896"/>
      <c r="FC61" s="896"/>
      <c r="FD61" s="896"/>
      <c r="FE61" s="896"/>
      <c r="FF61" s="896"/>
      <c r="FG61" s="896"/>
      <c r="FH61" s="896"/>
    </row>
    <row r="62" spans="1:164" x14ac:dyDescent="0.3">
      <c r="B62" s="1535" t="s">
        <v>486</v>
      </c>
      <c r="C62" s="1535"/>
      <c r="D62" s="1535"/>
      <c r="E62" s="1535"/>
      <c r="F62" s="1535"/>
      <c r="G62" s="1535"/>
      <c r="H62" s="1535"/>
      <c r="I62" s="1535"/>
      <c r="J62" s="799"/>
      <c r="K62" s="799"/>
    </row>
    <row r="63" spans="1:164" ht="24.75" customHeight="1" x14ac:dyDescent="0.3">
      <c r="B63" s="1529" t="s">
        <v>789</v>
      </c>
      <c r="C63" s="1529"/>
      <c r="D63" s="1529" t="s">
        <v>918</v>
      </c>
      <c r="E63" s="1529"/>
      <c r="F63" s="1529" t="s">
        <v>653</v>
      </c>
      <c r="G63" s="1529"/>
      <c r="H63" s="1529" t="s">
        <v>790</v>
      </c>
      <c r="I63" s="1529"/>
      <c r="J63" s="799"/>
      <c r="K63" s="940" t="s">
        <v>827</v>
      </c>
    </row>
    <row r="64" spans="1:164" x14ac:dyDescent="0.3">
      <c r="B64" s="498" t="s">
        <v>896</v>
      </c>
      <c r="C64" s="1029">
        <v>209</v>
      </c>
      <c r="D64" s="498" t="s">
        <v>819</v>
      </c>
      <c r="E64" s="1031">
        <v>300</v>
      </c>
      <c r="F64" s="498" t="s">
        <v>819</v>
      </c>
      <c r="G64" s="237">
        <v>209</v>
      </c>
      <c r="H64" s="498" t="s">
        <v>819</v>
      </c>
      <c r="I64" s="237">
        <v>1000</v>
      </c>
      <c r="J64" s="799"/>
      <c r="K64" s="941">
        <v>288</v>
      </c>
    </row>
    <row r="65" spans="2:11" x14ac:dyDescent="0.3">
      <c r="B65" s="498" t="s">
        <v>859</v>
      </c>
      <c r="C65" s="1030">
        <v>45362</v>
      </c>
      <c r="D65" s="498" t="s">
        <v>859</v>
      </c>
      <c r="E65" s="1030">
        <v>45280</v>
      </c>
      <c r="F65" s="498" t="s">
        <v>859</v>
      </c>
      <c r="G65" s="1030">
        <v>45461</v>
      </c>
      <c r="H65" s="498" t="s">
        <v>859</v>
      </c>
      <c r="I65" s="1030">
        <v>45309</v>
      </c>
      <c r="J65" s="799"/>
      <c r="K65" s="942">
        <v>45138</v>
      </c>
    </row>
    <row r="66" spans="2:11" x14ac:dyDescent="0.3">
      <c r="B66" s="498" t="s">
        <v>860</v>
      </c>
      <c r="C66" s="237"/>
      <c r="D66" s="498" t="s">
        <v>860</v>
      </c>
      <c r="E66" s="237"/>
      <c r="F66" s="498" t="s">
        <v>860</v>
      </c>
      <c r="G66" s="237"/>
      <c r="H66" s="498" t="s">
        <v>860</v>
      </c>
      <c r="I66" s="237"/>
      <c r="J66" s="1028"/>
      <c r="K66" s="1028"/>
    </row>
    <row r="67" spans="2:11" x14ac:dyDescent="0.3">
      <c r="B67" s="959" t="s">
        <v>818</v>
      </c>
      <c r="C67" s="960">
        <f>C66/C64</f>
        <v>0</v>
      </c>
      <c r="D67" s="959" t="s">
        <v>818</v>
      </c>
      <c r="E67" s="960">
        <f>E66/E64</f>
        <v>0</v>
      </c>
      <c r="F67" s="959"/>
      <c r="G67" s="960">
        <f>G66/G64</f>
        <v>0</v>
      </c>
      <c r="H67" s="959" t="s">
        <v>818</v>
      </c>
      <c r="I67" s="1184">
        <f>I66/I64</f>
        <v>0</v>
      </c>
      <c r="J67" s="1529" t="s">
        <v>792</v>
      </c>
      <c r="K67" s="1529"/>
    </row>
    <row r="68" spans="2:11" ht="14.4" thickBot="1" x14ac:dyDescent="0.35">
      <c r="B68" s="498" t="s">
        <v>896</v>
      </c>
      <c r="C68" s="1029"/>
      <c r="F68" s="498" t="s">
        <v>896</v>
      </c>
      <c r="G68" s="498">
        <v>418</v>
      </c>
      <c r="J68" s="498" t="s">
        <v>819</v>
      </c>
      <c r="K68" s="1029">
        <v>209</v>
      </c>
    </row>
    <row r="69" spans="2:11" ht="14.4" thickBot="1" x14ac:dyDescent="0.35">
      <c r="B69" s="498" t="s">
        <v>859</v>
      </c>
      <c r="C69" s="1030"/>
      <c r="F69" s="498" t="s">
        <v>859</v>
      </c>
      <c r="G69" s="895">
        <v>45294</v>
      </c>
      <c r="H69" s="925" t="s">
        <v>822</v>
      </c>
      <c r="I69" s="926">
        <f>(I67+G72+C67+K71)/1</f>
        <v>3989.8133971291868</v>
      </c>
      <c r="J69" s="498" t="s">
        <v>859</v>
      </c>
      <c r="K69" s="1030">
        <v>45461</v>
      </c>
    </row>
    <row r="70" spans="2:11" x14ac:dyDescent="0.3">
      <c r="B70" s="498" t="s">
        <v>860</v>
      </c>
      <c r="C70" s="237"/>
      <c r="F70" s="498" t="s">
        <v>860</v>
      </c>
      <c r="J70" s="498" t="s">
        <v>860</v>
      </c>
      <c r="K70" s="237">
        <v>833871</v>
      </c>
    </row>
    <row r="71" spans="2:11" x14ac:dyDescent="0.3">
      <c r="B71" s="959" t="s">
        <v>818</v>
      </c>
      <c r="C71" s="960"/>
      <c r="F71" s="959" t="s">
        <v>818</v>
      </c>
      <c r="G71" s="960">
        <f>G70/G68</f>
        <v>0</v>
      </c>
      <c r="J71" s="959" t="s">
        <v>818</v>
      </c>
      <c r="K71" s="960">
        <f>K70/K68</f>
        <v>3989.8133971291868</v>
      </c>
    </row>
    <row r="72" spans="2:11" x14ac:dyDescent="0.3">
      <c r="B72" s="959" t="s">
        <v>919</v>
      </c>
      <c r="C72" s="1152"/>
      <c r="F72" s="959" t="s">
        <v>919</v>
      </c>
      <c r="G72" s="1152">
        <f>(G71+G67)/2</f>
        <v>0</v>
      </c>
      <c r="J72" s="799"/>
      <c r="K72" s="799"/>
    </row>
    <row r="73" spans="2:11" x14ac:dyDescent="0.3">
      <c r="J73" s="799"/>
      <c r="K73" s="799"/>
    </row>
    <row r="74" spans="2:11" ht="14.4" thickBot="1" x14ac:dyDescent="0.35">
      <c r="J74" s="799"/>
      <c r="K74" s="799"/>
    </row>
    <row r="75" spans="2:11" ht="14.4" thickBot="1" x14ac:dyDescent="0.35">
      <c r="B75" s="1531" t="s">
        <v>863</v>
      </c>
      <c r="C75" s="1532"/>
      <c r="D75" s="1532"/>
      <c r="E75" s="1533"/>
      <c r="J75" s="799"/>
      <c r="K75" s="799"/>
    </row>
    <row r="76" spans="2:11" x14ac:dyDescent="0.3">
      <c r="B76" s="899" t="s">
        <v>811</v>
      </c>
      <c r="C76" s="899" t="s">
        <v>861</v>
      </c>
      <c r="D76" s="899" t="s">
        <v>862</v>
      </c>
      <c r="E76" s="899" t="s">
        <v>857</v>
      </c>
    </row>
    <row r="77" spans="2:11" x14ac:dyDescent="0.3">
      <c r="B77" s="498" t="s">
        <v>789</v>
      </c>
      <c r="C77" s="895"/>
      <c r="D77" s="895"/>
      <c r="E77" s="237"/>
    </row>
    <row r="78" spans="2:11" x14ac:dyDescent="0.3">
      <c r="B78" s="498" t="s">
        <v>520</v>
      </c>
      <c r="C78" s="895"/>
      <c r="E78" s="237"/>
    </row>
    <row r="79" spans="2:11" x14ac:dyDescent="0.3">
      <c r="B79" s="498" t="s">
        <v>962</v>
      </c>
      <c r="C79" s="894">
        <v>45420</v>
      </c>
      <c r="D79" s="905"/>
      <c r="E79" s="1036">
        <v>400272</v>
      </c>
    </row>
    <row r="80" spans="2:11" x14ac:dyDescent="0.3">
      <c r="B80" s="1153" t="s">
        <v>937</v>
      </c>
      <c r="C80" s="1222">
        <v>45450</v>
      </c>
      <c r="D80" s="1153"/>
      <c r="E80" s="1105">
        <v>420709</v>
      </c>
    </row>
    <row r="81" spans="2:13" ht="14.4" thickBot="1" x14ac:dyDescent="0.35">
      <c r="C81" s="895"/>
      <c r="E81" s="237"/>
    </row>
    <row r="82" spans="2:13" ht="14.4" thickBot="1" x14ac:dyDescent="0.35">
      <c r="B82" s="1536" t="s">
        <v>867</v>
      </c>
      <c r="C82" s="1537"/>
      <c r="D82" s="1537"/>
      <c r="E82" s="1037">
        <f>(E80+E78+E77+E79)/2</f>
        <v>410490.5</v>
      </c>
    </row>
    <row r="84" spans="2:13" x14ac:dyDescent="0.3">
      <c r="B84" s="1530"/>
      <c r="C84" s="1530"/>
      <c r="D84" s="1530"/>
      <c r="E84" s="1530"/>
    </row>
    <row r="85" spans="2:13" x14ac:dyDescent="0.3">
      <c r="B85" s="899"/>
      <c r="C85" s="899"/>
      <c r="D85" s="899"/>
      <c r="E85" s="899"/>
    </row>
    <row r="86" spans="2:13" ht="12" customHeight="1" x14ac:dyDescent="0.3">
      <c r="F86" s="1038"/>
    </row>
    <row r="87" spans="2:13" ht="20.25" customHeight="1" thickBot="1" x14ac:dyDescent="0.35"/>
    <row r="88" spans="2:13" ht="14.4" thickBot="1" x14ac:dyDescent="0.35">
      <c r="B88" s="1531" t="s">
        <v>864</v>
      </c>
      <c r="C88" s="1532"/>
      <c r="D88" s="1532"/>
      <c r="E88" s="1533"/>
    </row>
    <row r="89" spans="2:13" ht="16.5" customHeight="1" x14ac:dyDescent="0.3">
      <c r="B89" s="899" t="s">
        <v>811</v>
      </c>
      <c r="C89" s="899" t="s">
        <v>861</v>
      </c>
      <c r="D89" s="899" t="s">
        <v>862</v>
      </c>
      <c r="E89" s="899" t="s">
        <v>857</v>
      </c>
      <c r="J89" s="1028"/>
      <c r="K89" s="1028"/>
      <c r="L89" s="1028"/>
      <c r="M89" s="1028"/>
    </row>
    <row r="90" spans="2:13" x14ac:dyDescent="0.3">
      <c r="B90" s="1153" t="s">
        <v>962</v>
      </c>
      <c r="C90" s="1223">
        <v>45420</v>
      </c>
      <c r="D90" s="1224"/>
      <c r="E90" s="1105">
        <v>421462</v>
      </c>
      <c r="J90" s="1529" t="s">
        <v>792</v>
      </c>
      <c r="K90" s="1529"/>
      <c r="L90" s="1529" t="s">
        <v>762</v>
      </c>
      <c r="M90" s="1529"/>
    </row>
    <row r="91" spans="2:13" x14ac:dyDescent="0.3">
      <c r="B91" s="1153" t="s">
        <v>938</v>
      </c>
      <c r="C91" s="1221">
        <v>45450</v>
      </c>
      <c r="D91" s="1153"/>
      <c r="E91" s="1105">
        <v>430118</v>
      </c>
      <c r="J91" s="498" t="s">
        <v>476</v>
      </c>
      <c r="K91" s="1029">
        <v>110031</v>
      </c>
      <c r="L91" s="498" t="s">
        <v>476</v>
      </c>
      <c r="M91" s="1031">
        <v>243199</v>
      </c>
    </row>
    <row r="92" spans="2:13" x14ac:dyDescent="0.3">
      <c r="B92" s="498" t="s">
        <v>520</v>
      </c>
      <c r="C92" s="895"/>
      <c r="E92" s="237"/>
      <c r="J92" s="498" t="s">
        <v>859</v>
      </c>
      <c r="K92" s="1030">
        <v>45008</v>
      </c>
      <c r="L92" s="498" t="s">
        <v>859</v>
      </c>
      <c r="M92" s="1030">
        <v>44993</v>
      </c>
    </row>
    <row r="93" spans="2:13" ht="14.4" thickBot="1" x14ac:dyDescent="0.35">
      <c r="C93" s="895"/>
      <c r="E93" s="237"/>
      <c r="J93" s="498" t="s">
        <v>860</v>
      </c>
      <c r="K93" s="237">
        <v>624.39</v>
      </c>
      <c r="L93" s="498" t="s">
        <v>860</v>
      </c>
      <c r="M93" s="237">
        <v>524.76</v>
      </c>
    </row>
    <row r="94" spans="2:13" ht="14.4" thickBot="1" x14ac:dyDescent="0.35">
      <c r="B94" s="1536" t="s">
        <v>867</v>
      </c>
      <c r="C94" s="1537"/>
      <c r="D94" s="1537"/>
      <c r="E94" s="1039">
        <f>(E90+E91)/2</f>
        <v>425790</v>
      </c>
      <c r="J94" s="959" t="s">
        <v>818</v>
      </c>
      <c r="K94" s="960">
        <f>K93</f>
        <v>624.39</v>
      </c>
      <c r="L94" s="959" t="s">
        <v>818</v>
      </c>
      <c r="M94" s="960">
        <f>M93</f>
        <v>524.76</v>
      </c>
    </row>
    <row r="95" spans="2:13" x14ac:dyDescent="0.3">
      <c r="B95" s="899"/>
      <c r="C95" s="899"/>
      <c r="D95" s="899"/>
      <c r="E95" s="899"/>
    </row>
    <row r="96" spans="2:13" ht="14.4" thickBot="1" x14ac:dyDescent="0.35"/>
    <row r="97" spans="2:5" ht="14.4" thickBot="1" x14ac:dyDescent="0.35">
      <c r="B97" s="1531" t="s">
        <v>835</v>
      </c>
      <c r="C97" s="1532"/>
      <c r="D97" s="1532"/>
      <c r="E97" s="1533"/>
    </row>
    <row r="98" spans="2:5" x14ac:dyDescent="0.3">
      <c r="B98" s="899" t="s">
        <v>811</v>
      </c>
      <c r="C98" s="899" t="s">
        <v>861</v>
      </c>
      <c r="D98" s="899" t="s">
        <v>862</v>
      </c>
      <c r="E98" s="899" t="s">
        <v>857</v>
      </c>
    </row>
    <row r="99" spans="2:5" x14ac:dyDescent="0.3">
      <c r="C99" s="895"/>
      <c r="E99" s="237"/>
    </row>
    <row r="100" spans="2:5" x14ac:dyDescent="0.3">
      <c r="C100" s="895"/>
      <c r="E100" s="237"/>
    </row>
    <row r="101" spans="2:5" x14ac:dyDescent="0.3">
      <c r="B101" s="498" t="s">
        <v>498</v>
      </c>
      <c r="C101" s="894"/>
      <c r="D101" s="905"/>
      <c r="E101" s="1040"/>
    </row>
    <row r="102" spans="2:5" x14ac:dyDescent="0.3">
      <c r="B102" s="1122" t="s">
        <v>789</v>
      </c>
      <c r="C102" s="895"/>
      <c r="D102" s="905"/>
      <c r="E102" s="1040"/>
    </row>
    <row r="103" spans="2:5" x14ac:dyDescent="0.3">
      <c r="B103" s="498" t="s">
        <v>920</v>
      </c>
      <c r="C103" s="895">
        <v>45343</v>
      </c>
      <c r="D103" s="905"/>
      <c r="E103" s="237">
        <v>200008.83</v>
      </c>
    </row>
    <row r="104" spans="2:5" ht="14.4" thickBot="1" x14ac:dyDescent="0.35">
      <c r="C104" s="895"/>
      <c r="D104" s="905"/>
      <c r="E104" s="1040"/>
    </row>
    <row r="105" spans="2:5" ht="14.4" thickBot="1" x14ac:dyDescent="0.35">
      <c r="B105" s="1536" t="s">
        <v>867</v>
      </c>
      <c r="C105" s="1537"/>
      <c r="D105" s="1537"/>
      <c r="E105" s="1039">
        <f>(E103+E102+E101)/1</f>
        <v>200008.83</v>
      </c>
    </row>
    <row r="108" spans="2:5" ht="14.4" thickBot="1" x14ac:dyDescent="0.35"/>
    <row r="109" spans="2:5" ht="14.4" thickBot="1" x14ac:dyDescent="0.35">
      <c r="B109" s="1531" t="s">
        <v>865</v>
      </c>
      <c r="C109" s="1532"/>
      <c r="D109" s="1532"/>
      <c r="E109" s="1533"/>
    </row>
    <row r="110" spans="2:5" x14ac:dyDescent="0.3">
      <c r="B110" s="899" t="s">
        <v>811</v>
      </c>
      <c r="C110" s="899" t="s">
        <v>861</v>
      </c>
      <c r="D110" s="899" t="s">
        <v>862</v>
      </c>
      <c r="E110" s="899" t="s">
        <v>857</v>
      </c>
    </row>
    <row r="111" spans="2:5" x14ac:dyDescent="0.3">
      <c r="B111" s="498" t="s">
        <v>920</v>
      </c>
      <c r="C111" s="895">
        <v>45457</v>
      </c>
      <c r="E111" s="237">
        <v>200008.83</v>
      </c>
    </row>
    <row r="112" spans="2:5" x14ac:dyDescent="0.3">
      <c r="B112" s="498" t="s">
        <v>498</v>
      </c>
      <c r="C112" s="894"/>
      <c r="E112" s="237"/>
    </row>
    <row r="113" spans="2:5" x14ac:dyDescent="0.3">
      <c r="B113" s="498" t="s">
        <v>789</v>
      </c>
      <c r="C113" s="895"/>
      <c r="D113" s="895"/>
      <c r="E113" s="237"/>
    </row>
    <row r="114" spans="2:5" x14ac:dyDescent="0.3">
      <c r="B114" s="900"/>
      <c r="C114" s="895"/>
      <c r="D114" s="905"/>
      <c r="E114" s="237"/>
    </row>
    <row r="115" spans="2:5" ht="14.4" thickBot="1" x14ac:dyDescent="0.35">
      <c r="B115" s="900"/>
      <c r="C115" s="895"/>
      <c r="D115" s="905"/>
      <c r="E115" s="237"/>
    </row>
    <row r="116" spans="2:5" ht="14.4" thickBot="1" x14ac:dyDescent="0.35">
      <c r="B116" s="1536" t="s">
        <v>867</v>
      </c>
      <c r="C116" s="1537"/>
      <c r="D116" s="1537"/>
      <c r="E116" s="1039">
        <f>(E111+E112+E113)/1</f>
        <v>200008.83</v>
      </c>
    </row>
    <row r="121" spans="2:5" ht="14.4" thickBot="1" x14ac:dyDescent="0.35"/>
    <row r="122" spans="2:5" ht="14.4" thickBot="1" x14ac:dyDescent="0.35">
      <c r="B122" s="1540" t="s">
        <v>788</v>
      </c>
      <c r="C122" s="1541"/>
      <c r="D122" s="1541"/>
      <c r="E122" s="1542"/>
    </row>
    <row r="123" spans="2:5" ht="16.5" customHeight="1" thickBot="1" x14ac:dyDescent="0.35">
      <c r="B123" s="1053" t="s">
        <v>811</v>
      </c>
      <c r="C123" s="1054" t="s">
        <v>869</v>
      </c>
      <c r="D123" s="1055" t="s">
        <v>758</v>
      </c>
      <c r="E123" s="1056" t="s">
        <v>870</v>
      </c>
    </row>
    <row r="124" spans="2:5" x14ac:dyDescent="0.3">
      <c r="B124" s="932" t="s">
        <v>789</v>
      </c>
      <c r="C124" s="1057">
        <f>D124/E124</f>
        <v>0</v>
      </c>
      <c r="D124" s="1159"/>
      <c r="E124" s="1052">
        <v>152</v>
      </c>
    </row>
    <row r="125" spans="2:5" x14ac:dyDescent="0.3">
      <c r="B125" s="933" t="s">
        <v>520</v>
      </c>
      <c r="C125" s="1057">
        <f>D125/E125</f>
        <v>0</v>
      </c>
      <c r="D125" s="965"/>
      <c r="E125" s="1047">
        <v>83</v>
      </c>
    </row>
    <row r="126" spans="2:5" x14ac:dyDescent="0.3">
      <c r="B126" s="933" t="s">
        <v>790</v>
      </c>
      <c r="C126" s="1057"/>
      <c r="D126" s="965"/>
      <c r="E126" s="1047"/>
    </row>
    <row r="127" spans="2:5" x14ac:dyDescent="0.3">
      <c r="B127" s="933" t="s">
        <v>858</v>
      </c>
      <c r="C127" s="1057">
        <f>D127/E127</f>
        <v>63758.495652173915</v>
      </c>
      <c r="D127" s="965">
        <v>7332227</v>
      </c>
      <c r="E127" s="1047">
        <v>115</v>
      </c>
    </row>
    <row r="128" spans="2:5" x14ac:dyDescent="0.3">
      <c r="B128" s="933" t="s">
        <v>490</v>
      </c>
      <c r="C128" s="1057"/>
      <c r="D128" s="965"/>
      <c r="E128" s="1047"/>
    </row>
    <row r="129" spans="1:164" x14ac:dyDescent="0.3">
      <c r="B129" s="934" t="s">
        <v>653</v>
      </c>
      <c r="C129" s="1057"/>
      <c r="D129" s="966"/>
      <c r="E129" s="1047"/>
    </row>
    <row r="130" spans="1:164" ht="14.4" thickBot="1" x14ac:dyDescent="0.35">
      <c r="B130" s="1048" t="s">
        <v>791</v>
      </c>
      <c r="C130" s="1049">
        <f>+(C124+C125+C126+C127+C128+C129)/2</f>
        <v>31879.247826086958</v>
      </c>
      <c r="D130" s="1050"/>
      <c r="E130" s="1051"/>
    </row>
    <row r="133" spans="1:164" ht="14.4" thickBot="1" x14ac:dyDescent="0.35">
      <c r="J133" s="498" t="s">
        <v>605</v>
      </c>
    </row>
    <row r="134" spans="1:164" s="903" customFormat="1" ht="24.75" customHeight="1" thickBot="1" x14ac:dyDescent="0.35">
      <c r="A134" s="498"/>
      <c r="B134" s="1543" t="s">
        <v>804</v>
      </c>
      <c r="C134" s="1544"/>
      <c r="D134" s="984"/>
      <c r="E134" s="984"/>
      <c r="F134" s="498"/>
      <c r="G134" s="498"/>
      <c r="H134" s="498"/>
      <c r="I134" s="498"/>
      <c r="J134" s="498" t="s">
        <v>942</v>
      </c>
      <c r="K134" s="498"/>
      <c r="L134" s="498"/>
      <c r="M134" s="498"/>
      <c r="N134" s="896"/>
      <c r="O134" s="896"/>
      <c r="P134" s="896"/>
      <c r="Q134" s="896"/>
      <c r="R134" s="896"/>
      <c r="S134" s="896"/>
      <c r="T134" s="896"/>
      <c r="U134" s="896"/>
      <c r="V134" s="896"/>
      <c r="W134" s="896"/>
      <c r="X134" s="896"/>
      <c r="Y134" s="896"/>
      <c r="Z134" s="896"/>
      <c r="AA134" s="896"/>
      <c r="AB134" s="896"/>
      <c r="AC134" s="896"/>
      <c r="AD134" s="896"/>
      <c r="AE134" s="896"/>
      <c r="AF134" s="896"/>
      <c r="AG134" s="896"/>
      <c r="AH134" s="896"/>
      <c r="AI134" s="896"/>
      <c r="AJ134" s="896"/>
      <c r="AK134" s="896"/>
      <c r="AL134" s="896"/>
      <c r="AM134" s="896"/>
      <c r="AN134" s="896"/>
      <c r="AO134" s="896"/>
      <c r="AP134" s="896"/>
      <c r="AQ134" s="896"/>
      <c r="AR134" s="896"/>
      <c r="AS134" s="896"/>
      <c r="AT134" s="896"/>
      <c r="AU134" s="896"/>
      <c r="AV134" s="896"/>
      <c r="AW134" s="896"/>
      <c r="AX134" s="896"/>
      <c r="AY134" s="896"/>
      <c r="AZ134" s="896"/>
      <c r="BA134" s="896"/>
      <c r="BB134" s="896"/>
      <c r="BC134" s="896"/>
      <c r="BD134" s="896"/>
      <c r="BE134" s="896"/>
      <c r="BF134" s="896"/>
      <c r="BG134" s="896"/>
      <c r="BH134" s="896"/>
      <c r="BI134" s="896"/>
      <c r="BJ134" s="896"/>
      <c r="BK134" s="896"/>
      <c r="BL134" s="896"/>
      <c r="BM134" s="896"/>
      <c r="BN134" s="896"/>
      <c r="BO134" s="896"/>
      <c r="BP134" s="896"/>
      <c r="BQ134" s="896"/>
      <c r="BR134" s="896"/>
      <c r="BS134" s="896"/>
      <c r="BT134" s="896"/>
      <c r="BU134" s="896"/>
      <c r="BV134" s="896"/>
      <c r="BW134" s="896"/>
      <c r="BX134" s="896"/>
      <c r="BY134" s="896"/>
      <c r="BZ134" s="896"/>
      <c r="CA134" s="896"/>
      <c r="CB134" s="896"/>
      <c r="CC134" s="896"/>
      <c r="CD134" s="896"/>
      <c r="CE134" s="896"/>
      <c r="CF134" s="896"/>
      <c r="CG134" s="896"/>
      <c r="CH134" s="896"/>
      <c r="CI134" s="896"/>
      <c r="CJ134" s="896"/>
      <c r="CK134" s="896"/>
      <c r="CL134" s="896"/>
      <c r="CM134" s="896"/>
      <c r="CN134" s="896"/>
      <c r="CO134" s="896"/>
      <c r="CP134" s="896"/>
      <c r="CQ134" s="896"/>
      <c r="CR134" s="896"/>
      <c r="CS134" s="896"/>
      <c r="CT134" s="896"/>
      <c r="CU134" s="896"/>
      <c r="CV134" s="896"/>
      <c r="CW134" s="896"/>
      <c r="CX134" s="896"/>
      <c r="CY134" s="896"/>
      <c r="CZ134" s="896"/>
      <c r="DA134" s="896"/>
      <c r="DB134" s="896"/>
      <c r="DC134" s="896"/>
      <c r="DD134" s="896"/>
      <c r="DE134" s="896"/>
      <c r="DF134" s="896"/>
      <c r="DG134" s="896"/>
      <c r="DH134" s="896"/>
      <c r="DI134" s="896"/>
      <c r="DJ134" s="896"/>
      <c r="DK134" s="896"/>
      <c r="DL134" s="896"/>
      <c r="DM134" s="896"/>
      <c r="DN134" s="896"/>
      <c r="DO134" s="896"/>
      <c r="DP134" s="896"/>
      <c r="DQ134" s="896"/>
      <c r="DR134" s="896"/>
      <c r="DS134" s="896"/>
      <c r="DT134" s="896"/>
      <c r="DU134" s="896"/>
      <c r="DV134" s="896"/>
      <c r="DW134" s="896"/>
      <c r="DX134" s="896"/>
      <c r="DY134" s="896"/>
      <c r="DZ134" s="896"/>
      <c r="EA134" s="896"/>
      <c r="EB134" s="896"/>
      <c r="EC134" s="896"/>
      <c r="ED134" s="896"/>
      <c r="EE134" s="896"/>
      <c r="EF134" s="896"/>
      <c r="EG134" s="896"/>
      <c r="EH134" s="896"/>
      <c r="EI134" s="896"/>
      <c r="EJ134" s="896"/>
      <c r="EK134" s="896"/>
      <c r="EL134" s="896"/>
      <c r="EM134" s="896"/>
      <c r="EN134" s="896"/>
      <c r="EO134" s="896"/>
      <c r="EP134" s="896"/>
      <c r="EQ134" s="896"/>
      <c r="ER134" s="896"/>
      <c r="ES134" s="896"/>
      <c r="ET134" s="896"/>
      <c r="EU134" s="896"/>
      <c r="EV134" s="896"/>
      <c r="EW134" s="896"/>
      <c r="EX134" s="896"/>
      <c r="EY134" s="896"/>
      <c r="EZ134" s="896"/>
      <c r="FA134" s="896"/>
      <c r="FB134" s="896"/>
      <c r="FC134" s="896"/>
      <c r="FD134" s="896"/>
      <c r="FE134" s="896"/>
      <c r="FF134" s="896"/>
      <c r="FG134" s="896"/>
      <c r="FH134" s="896"/>
    </row>
    <row r="135" spans="1:164" ht="14.4" thickBot="1" x14ac:dyDescent="0.35">
      <c r="B135" s="1053" t="s">
        <v>811</v>
      </c>
      <c r="C135" s="1059" t="s">
        <v>869</v>
      </c>
      <c r="D135" s="1058"/>
      <c r="E135" s="1058"/>
      <c r="J135" s="498">
        <v>5863</v>
      </c>
    </row>
    <row r="136" spans="1:164" x14ac:dyDescent="0.3">
      <c r="B136" s="1078" t="s">
        <v>789</v>
      </c>
      <c r="C136" s="1079"/>
      <c r="D136" s="561"/>
      <c r="E136" s="561"/>
      <c r="J136" s="498">
        <v>5863</v>
      </c>
    </row>
    <row r="137" spans="1:164" x14ac:dyDescent="0.3">
      <c r="B137" s="1080" t="s">
        <v>520</v>
      </c>
      <c r="C137" s="1081"/>
      <c r="D137" s="657"/>
      <c r="E137" s="561"/>
      <c r="J137" s="498">
        <v>6281</v>
      </c>
    </row>
    <row r="138" spans="1:164" x14ac:dyDescent="0.3">
      <c r="B138" s="1080" t="s">
        <v>790</v>
      </c>
      <c r="C138" s="1081"/>
      <c r="D138" s="657"/>
      <c r="E138" s="561">
        <v>5820</v>
      </c>
      <c r="F138" s="498">
        <v>26907</v>
      </c>
      <c r="G138" s="498">
        <v>11992</v>
      </c>
      <c r="J138" s="498">
        <v>6281</v>
      </c>
    </row>
    <row r="139" spans="1:164" x14ac:dyDescent="0.3">
      <c r="B139" s="1080" t="s">
        <v>858</v>
      </c>
      <c r="C139" s="1081">
        <v>64020</v>
      </c>
      <c r="D139" s="657"/>
      <c r="E139" s="561"/>
      <c r="J139" s="498">
        <v>6281</v>
      </c>
    </row>
    <row r="140" spans="1:164" x14ac:dyDescent="0.3">
      <c r="B140" s="1080" t="s">
        <v>490</v>
      </c>
      <c r="C140" s="1081"/>
      <c r="D140" s="657"/>
      <c r="E140" s="561"/>
      <c r="J140" s="498">
        <v>6281</v>
      </c>
    </row>
    <row r="141" spans="1:164" ht="14.4" thickBot="1" x14ac:dyDescent="0.35">
      <c r="B141" s="1084" t="s">
        <v>653</v>
      </c>
      <c r="C141" s="1082"/>
      <c r="D141" s="561"/>
      <c r="E141" s="561">
        <v>11651</v>
      </c>
      <c r="F141" s="498">
        <v>6466</v>
      </c>
      <c r="G141" s="498">
        <v>40464</v>
      </c>
      <c r="J141" s="498">
        <v>8652</v>
      </c>
    </row>
    <row r="142" spans="1:164" ht="14.4" thickBot="1" x14ac:dyDescent="0.35">
      <c r="B142" s="1085" t="s">
        <v>796</v>
      </c>
      <c r="C142" s="1083">
        <f>+(C136+C137+C138+C139+C140+C141)/1</f>
        <v>64020</v>
      </c>
      <c r="D142" s="561"/>
      <c r="E142" s="561"/>
      <c r="J142" s="498">
        <v>8652</v>
      </c>
    </row>
    <row r="143" spans="1:164" ht="14.4" thickBot="1" x14ac:dyDescent="0.35">
      <c r="B143" s="1086" t="s">
        <v>797</v>
      </c>
      <c r="C143" s="1083">
        <f>C142*12</f>
        <v>768240</v>
      </c>
      <c r="J143" s="498">
        <v>8652</v>
      </c>
    </row>
    <row r="144" spans="1:164" x14ac:dyDescent="0.3">
      <c r="J144" s="498">
        <v>8652</v>
      </c>
    </row>
    <row r="145" spans="2:10" x14ac:dyDescent="0.3">
      <c r="J145" s="498">
        <v>7080</v>
      </c>
    </row>
    <row r="146" spans="2:10" x14ac:dyDescent="0.3">
      <c r="B146" s="1411"/>
      <c r="C146" s="1411"/>
      <c r="D146" s="1411"/>
      <c r="E146" s="1411"/>
      <c r="J146" s="498">
        <v>8652</v>
      </c>
    </row>
    <row r="147" spans="2:10" x14ac:dyDescent="0.3">
      <c r="B147" s="1062"/>
      <c r="C147" s="1062"/>
      <c r="D147" s="1058"/>
      <c r="E147" s="1058"/>
      <c r="J147" s="498">
        <v>16296</v>
      </c>
    </row>
    <row r="148" spans="2:10" ht="14.4" thickBot="1" x14ac:dyDescent="0.35">
      <c r="B148" s="615"/>
      <c r="C148" s="1063"/>
      <c r="D148" s="561"/>
      <c r="E148" s="561"/>
      <c r="J148" s="498">
        <v>16296</v>
      </c>
    </row>
    <row r="149" spans="2:10" ht="27.75" customHeight="1" thickBot="1" x14ac:dyDescent="0.35">
      <c r="B149" s="1538" t="s">
        <v>871</v>
      </c>
      <c r="C149" s="1539"/>
      <c r="D149" s="657"/>
      <c r="E149" s="561"/>
      <c r="J149" s="498">
        <v>16296</v>
      </c>
    </row>
    <row r="150" spans="2:10" ht="14.4" thickBot="1" x14ac:dyDescent="0.35">
      <c r="B150" s="1053" t="s">
        <v>811</v>
      </c>
      <c r="C150" s="1059" t="s">
        <v>869</v>
      </c>
      <c r="D150" s="657"/>
      <c r="E150" s="561"/>
      <c r="J150" s="498">
        <v>6296</v>
      </c>
    </row>
    <row r="151" spans="2:10" x14ac:dyDescent="0.3">
      <c r="B151" s="932" t="s">
        <v>789</v>
      </c>
      <c r="C151" s="1060"/>
      <c r="D151" s="657"/>
      <c r="E151" s="561"/>
      <c r="J151" s="498">
        <v>2660</v>
      </c>
    </row>
    <row r="152" spans="2:10" x14ac:dyDescent="0.3">
      <c r="B152" s="933" t="s">
        <v>520</v>
      </c>
      <c r="C152" s="1064"/>
      <c r="D152" s="657"/>
      <c r="J152" s="498">
        <v>2660</v>
      </c>
    </row>
    <row r="153" spans="2:10" x14ac:dyDescent="0.3">
      <c r="B153" s="933" t="s">
        <v>790</v>
      </c>
      <c r="C153" s="1061">
        <f>J188</f>
        <v>89879.171891671605</v>
      </c>
      <c r="J153" s="498">
        <v>16296</v>
      </c>
    </row>
    <row r="154" spans="2:10" x14ac:dyDescent="0.3">
      <c r="B154" s="933" t="s">
        <v>858</v>
      </c>
      <c r="C154" s="1061">
        <v>40325</v>
      </c>
      <c r="D154" s="561"/>
      <c r="E154" s="561"/>
      <c r="J154" s="498">
        <v>16296</v>
      </c>
    </row>
    <row r="155" spans="2:10" x14ac:dyDescent="0.3">
      <c r="B155" s="933" t="s">
        <v>490</v>
      </c>
      <c r="C155" s="1061"/>
      <c r="J155" s="498">
        <v>16296</v>
      </c>
    </row>
    <row r="156" spans="2:10" ht="14.4" thickBot="1" x14ac:dyDescent="0.35">
      <c r="B156" s="934" t="s">
        <v>653</v>
      </c>
      <c r="C156" s="1087"/>
      <c r="E156" s="561"/>
      <c r="J156" s="498">
        <v>16296</v>
      </c>
    </row>
    <row r="157" spans="2:10" ht="14.4" thickBot="1" x14ac:dyDescent="0.35">
      <c r="B157" s="1085" t="s">
        <v>796</v>
      </c>
      <c r="C157" s="1088">
        <f>+(C151+C152+C153+C154+C155+C156)/2</f>
        <v>65102.085945835803</v>
      </c>
      <c r="D157" s="561"/>
      <c r="J157" s="498">
        <v>16296</v>
      </c>
    </row>
    <row r="158" spans="2:10" ht="14.4" thickBot="1" x14ac:dyDescent="0.35">
      <c r="B158" s="1086" t="s">
        <v>797</v>
      </c>
      <c r="C158" s="1089">
        <f>C157*12</f>
        <v>781225.03135002963</v>
      </c>
      <c r="J158" s="498">
        <v>37300</v>
      </c>
    </row>
    <row r="159" spans="2:10" x14ac:dyDescent="0.3">
      <c r="J159" s="498">
        <v>11145</v>
      </c>
    </row>
    <row r="160" spans="2:10" x14ac:dyDescent="0.3">
      <c r="J160" s="498">
        <v>11145</v>
      </c>
    </row>
    <row r="161" spans="2:13" x14ac:dyDescent="0.3">
      <c r="J161" s="498">
        <v>8221</v>
      </c>
    </row>
    <row r="162" spans="2:13" ht="14.4" thickBot="1" x14ac:dyDescent="0.35">
      <c r="I162" s="498" t="s">
        <v>947</v>
      </c>
      <c r="J162" s="498">
        <v>9021</v>
      </c>
    </row>
    <row r="163" spans="2:13" ht="28.5" customHeight="1" x14ac:dyDescent="0.3">
      <c r="B163" s="1186" t="s">
        <v>470</v>
      </c>
      <c r="C163" s="1187" t="s">
        <v>789</v>
      </c>
      <c r="D163" s="1187" t="s">
        <v>490</v>
      </c>
      <c r="E163" s="1187" t="s">
        <v>790</v>
      </c>
      <c r="F163" s="1187" t="s">
        <v>520</v>
      </c>
      <c r="G163" s="1188" t="s">
        <v>866</v>
      </c>
      <c r="H163" s="1199" t="s">
        <v>653</v>
      </c>
      <c r="I163" s="1206" t="s">
        <v>945</v>
      </c>
      <c r="J163" s="498">
        <v>9021</v>
      </c>
    </row>
    <row r="164" spans="2:13" ht="28.5" customHeight="1" x14ac:dyDescent="0.3">
      <c r="B164" s="1191" t="s">
        <v>810</v>
      </c>
      <c r="C164" s="1189">
        <f>E124</f>
        <v>152</v>
      </c>
      <c r="D164" s="1189">
        <v>36</v>
      </c>
      <c r="E164" s="1189">
        <v>49</v>
      </c>
      <c r="F164" s="1190">
        <f>E125</f>
        <v>83</v>
      </c>
      <c r="G164" s="1190">
        <f>E127</f>
        <v>115</v>
      </c>
      <c r="H164" s="1200">
        <v>195</v>
      </c>
      <c r="I164" s="966">
        <v>16</v>
      </c>
    </row>
    <row r="165" spans="2:13" ht="28.5" customHeight="1" x14ac:dyDescent="0.3">
      <c r="B165" s="1191" t="s">
        <v>944</v>
      </c>
      <c r="C165" s="1196">
        <v>227873681</v>
      </c>
      <c r="D165" s="1189"/>
      <c r="E165" s="1196">
        <v>120156008</v>
      </c>
      <c r="F165" s="1196">
        <v>114990352</v>
      </c>
      <c r="G165" s="1195">
        <v>202207407</v>
      </c>
      <c r="H165" s="1200"/>
      <c r="I165" s="965">
        <v>58117469</v>
      </c>
      <c r="L165" s="498">
        <v>850</v>
      </c>
      <c r="M165" s="498">
        <v>2.5</v>
      </c>
    </row>
    <row r="166" spans="2:13" ht="28.5" customHeight="1" x14ac:dyDescent="0.3">
      <c r="B166" s="1192" t="s">
        <v>946</v>
      </c>
      <c r="C166" s="1197">
        <f>C165/C169</f>
        <v>609287.91711229947</v>
      </c>
      <c r="D166" s="1193"/>
      <c r="E166" s="1197">
        <f>E165/E169</f>
        <v>755698.16352201253</v>
      </c>
      <c r="F166" s="1197">
        <f>F165/F169</f>
        <v>572091.3034825871</v>
      </c>
      <c r="G166" s="1194">
        <f>G165/G169</f>
        <v>561687.2416666667</v>
      </c>
      <c r="H166" s="1201"/>
      <c r="I166" s="965">
        <f>I165/I169</f>
        <v>908085.453125</v>
      </c>
      <c r="J166" s="969">
        <f>I166+G166+F166+E166+C166</f>
        <v>3406850.0789085655</v>
      </c>
      <c r="K166" s="969">
        <f>J166/J167</f>
        <v>681370.01578171307</v>
      </c>
      <c r="M166" s="498">
        <f>L165*M165</f>
        <v>2125</v>
      </c>
    </row>
    <row r="167" spans="2:13" ht="28.5" customHeight="1" x14ac:dyDescent="0.3">
      <c r="B167" s="1192" t="s">
        <v>948</v>
      </c>
      <c r="C167" s="1198">
        <f>C169/C164</f>
        <v>2.4605263157894739</v>
      </c>
      <c r="D167" s="1198">
        <f t="shared" ref="D167:I167" si="2">D169/D164</f>
        <v>2.8611111111111112</v>
      </c>
      <c r="E167" s="1198">
        <f t="shared" si="2"/>
        <v>3.2448979591836733</v>
      </c>
      <c r="F167" s="1198">
        <f t="shared" si="2"/>
        <v>2.4216867469879517</v>
      </c>
      <c r="G167" s="1198">
        <f t="shared" si="2"/>
        <v>3.1304347826086958</v>
      </c>
      <c r="H167" s="1202">
        <f t="shared" si="2"/>
        <v>0</v>
      </c>
      <c r="I167" s="1207">
        <f t="shared" si="2"/>
        <v>4</v>
      </c>
      <c r="J167" s="498">
        <v>5</v>
      </c>
      <c r="K167" s="498">
        <v>3000</v>
      </c>
    </row>
    <row r="168" spans="2:13" x14ac:dyDescent="0.3">
      <c r="B168" s="1090" t="s">
        <v>793</v>
      </c>
      <c r="C168" s="1091">
        <v>7676938</v>
      </c>
      <c r="D168" s="1091">
        <v>1343224.97</v>
      </c>
      <c r="E168" s="1091">
        <v>4486204</v>
      </c>
      <c r="F168" s="1091">
        <v>1695121.95</v>
      </c>
      <c r="G168" s="1046">
        <v>15427175</v>
      </c>
      <c r="H168" s="1203"/>
      <c r="I168" s="966"/>
      <c r="J168" s="498">
        <v>21337</v>
      </c>
      <c r="K168" s="969">
        <f>K166*K167</f>
        <v>2044110047.3451393</v>
      </c>
    </row>
    <row r="169" spans="2:13" x14ac:dyDescent="0.3">
      <c r="B169" s="1066" t="s">
        <v>794</v>
      </c>
      <c r="C169" s="1065">
        <v>374</v>
      </c>
      <c r="D169" s="1065">
        <v>103</v>
      </c>
      <c r="E169" s="1065">
        <v>159</v>
      </c>
      <c r="F169" s="1065">
        <v>201</v>
      </c>
      <c r="G169" s="837">
        <v>360</v>
      </c>
      <c r="H169" s="1204"/>
      <c r="I169" s="966">
        <v>64</v>
      </c>
      <c r="J169" s="498">
        <v>19827</v>
      </c>
    </row>
    <row r="170" spans="2:13" ht="28.8" x14ac:dyDescent="0.3">
      <c r="B170" s="1067" t="s">
        <v>795</v>
      </c>
      <c r="C170" s="838">
        <f>C168/C169</f>
        <v>20526.572192513369</v>
      </c>
      <c r="D170" s="838"/>
      <c r="E170" s="838">
        <f>E168/E169</f>
        <v>28215.119496855346</v>
      </c>
      <c r="F170" s="838"/>
      <c r="G170" s="838">
        <f>G168/G169</f>
        <v>42853.263888888891</v>
      </c>
      <c r="H170" s="1205"/>
      <c r="I170" s="966"/>
      <c r="J170" s="498">
        <v>21979</v>
      </c>
    </row>
    <row r="171" spans="2:13" x14ac:dyDescent="0.3">
      <c r="B171" s="799"/>
      <c r="C171" s="799"/>
      <c r="J171" s="498">
        <v>19827</v>
      </c>
    </row>
    <row r="172" spans="2:13" ht="14.4" x14ac:dyDescent="0.3">
      <c r="B172" s="1068" t="s">
        <v>796</v>
      </c>
      <c r="C172" s="838">
        <f>(G170+C170+E170)/3</f>
        <v>30531.651859419202</v>
      </c>
      <c r="J172" s="498">
        <v>21979</v>
      </c>
    </row>
    <row r="173" spans="2:13" ht="14.4" x14ac:dyDescent="0.3">
      <c r="B173" s="1067" t="s">
        <v>797</v>
      </c>
      <c r="C173" s="838">
        <f>+C172*12</f>
        <v>366379.82231303042</v>
      </c>
      <c r="J173" s="498">
        <v>40078</v>
      </c>
    </row>
    <row r="174" spans="2:13" x14ac:dyDescent="0.3">
      <c r="J174" s="498">
        <v>40078</v>
      </c>
    </row>
    <row r="175" spans="2:13" x14ac:dyDescent="0.3">
      <c r="J175" s="498">
        <v>40078</v>
      </c>
    </row>
    <row r="176" spans="2:13" x14ac:dyDescent="0.3">
      <c r="D176" s="1072"/>
      <c r="E176" s="1072"/>
      <c r="F176" s="1072"/>
      <c r="G176" s="1073"/>
      <c r="H176" s="1069"/>
      <c r="J176" s="498">
        <v>40078</v>
      </c>
    </row>
    <row r="177" spans="2:10" x14ac:dyDescent="0.3">
      <c r="D177" s="1074"/>
      <c r="E177" s="1074"/>
      <c r="F177" s="1074"/>
      <c r="G177" s="1074"/>
      <c r="H177" s="1070"/>
      <c r="J177" s="498">
        <v>40078</v>
      </c>
    </row>
    <row r="178" spans="2:10" x14ac:dyDescent="0.3">
      <c r="D178" s="1074"/>
      <c r="E178" s="1074"/>
      <c r="F178" s="1074"/>
      <c r="G178" s="1074"/>
      <c r="H178" s="1070"/>
      <c r="J178" s="498">
        <v>4855</v>
      </c>
    </row>
    <row r="179" spans="2:10" ht="14.4" x14ac:dyDescent="0.3">
      <c r="D179" s="1075"/>
      <c r="E179" s="1075"/>
      <c r="F179" s="1075"/>
      <c r="G179" s="1075"/>
      <c r="H179" s="1071"/>
      <c r="J179" s="498">
        <v>40078</v>
      </c>
    </row>
    <row r="180" spans="2:10" x14ac:dyDescent="0.3">
      <c r="D180" s="1025"/>
      <c r="E180" s="1025"/>
      <c r="F180" s="1025"/>
      <c r="G180" s="1025"/>
      <c r="H180" s="799"/>
      <c r="J180" s="498">
        <v>40078</v>
      </c>
    </row>
    <row r="181" spans="2:10" x14ac:dyDescent="0.3">
      <c r="B181" s="2" t="s">
        <v>897</v>
      </c>
      <c r="C181" s="799"/>
      <c r="D181" s="799"/>
      <c r="E181" s="1025"/>
      <c r="F181" s="1076"/>
      <c r="G181" s="1025"/>
      <c r="H181" s="799"/>
      <c r="J181" s="498">
        <v>40078</v>
      </c>
    </row>
    <row r="182" spans="2:10" x14ac:dyDescent="0.3">
      <c r="B182" s="1116" t="s">
        <v>898</v>
      </c>
      <c r="C182" s="649">
        <v>23</v>
      </c>
      <c r="D182" s="649" t="s">
        <v>899</v>
      </c>
      <c r="E182" s="1025"/>
      <c r="F182" s="1025"/>
      <c r="G182" s="1025"/>
      <c r="H182" s="799"/>
      <c r="J182" s="498">
        <v>40078</v>
      </c>
    </row>
    <row r="183" spans="2:10" x14ac:dyDescent="0.3">
      <c r="B183" s="1116" t="s">
        <v>434</v>
      </c>
      <c r="C183" s="1117">
        <v>17</v>
      </c>
      <c r="D183" s="649" t="s">
        <v>900</v>
      </c>
      <c r="J183" s="498">
        <v>21022</v>
      </c>
    </row>
    <row r="184" spans="2:10" x14ac:dyDescent="0.3">
      <c r="B184" s="1116" t="s">
        <v>901</v>
      </c>
      <c r="C184" s="649">
        <v>14</v>
      </c>
      <c r="D184" s="649" t="s">
        <v>899</v>
      </c>
      <c r="J184" s="498">
        <v>5048</v>
      </c>
    </row>
    <row r="185" spans="2:10" x14ac:dyDescent="0.3">
      <c r="B185" s="1118" t="s">
        <v>902</v>
      </c>
      <c r="C185" s="1118">
        <f>SUM(C182:C184)</f>
        <v>54</v>
      </c>
      <c r="D185" s="799"/>
      <c r="J185" s="498">
        <v>5863</v>
      </c>
    </row>
    <row r="186" spans="2:10" x14ac:dyDescent="0.3">
      <c r="B186" s="799"/>
      <c r="C186" s="799"/>
      <c r="D186" s="799"/>
      <c r="J186" s="498">
        <f>SUM(J135:J185)</f>
        <v>4224321.0789085655</v>
      </c>
    </row>
    <row r="187" spans="2:10" x14ac:dyDescent="0.3">
      <c r="B187" s="223" t="s">
        <v>903</v>
      </c>
      <c r="C187" s="799"/>
      <c r="D187" s="799" t="s">
        <v>899</v>
      </c>
      <c r="J187" s="498">
        <v>47</v>
      </c>
    </row>
    <row r="188" spans="2:10" x14ac:dyDescent="0.3">
      <c r="B188" s="799"/>
      <c r="C188" s="799"/>
      <c r="D188" s="799"/>
      <c r="J188" s="237">
        <f>J186/J187</f>
        <v>89879.171891671605</v>
      </c>
    </row>
    <row r="189" spans="2:10" x14ac:dyDescent="0.3">
      <c r="B189" s="223" t="s">
        <v>926</v>
      </c>
      <c r="C189" s="799"/>
      <c r="D189" s="799"/>
    </row>
    <row r="190" spans="2:10" x14ac:dyDescent="0.3">
      <c r="B190" s="799"/>
      <c r="C190" s="799"/>
      <c r="D190" s="799"/>
    </row>
    <row r="191" spans="2:10" x14ac:dyDescent="0.3">
      <c r="B191" s="1119">
        <f>+(8*C185)/12</f>
        <v>36</v>
      </c>
      <c r="C191" s="799"/>
      <c r="D191" s="799"/>
    </row>
    <row r="193" spans="2:2" x14ac:dyDescent="0.3">
      <c r="B193" s="223" t="s">
        <v>904</v>
      </c>
    </row>
    <row r="194" spans="2:2" x14ac:dyDescent="0.3">
      <c r="B194" s="799"/>
    </row>
    <row r="195" spans="2:2" x14ac:dyDescent="0.3">
      <c r="B195" s="223" t="s">
        <v>905</v>
      </c>
    </row>
    <row r="196" spans="2:2" x14ac:dyDescent="0.3">
      <c r="B196" s="799"/>
    </row>
    <row r="197" spans="2:2" x14ac:dyDescent="0.3">
      <c r="B197" s="2" t="s">
        <v>906</v>
      </c>
    </row>
    <row r="198" spans="2:2" x14ac:dyDescent="0.3">
      <c r="B198" s="799"/>
    </row>
    <row r="199" spans="2:2" x14ac:dyDescent="0.3">
      <c r="B199" s="799" t="s">
        <v>907</v>
      </c>
    </row>
    <row r="200" spans="2:2" x14ac:dyDescent="0.3">
      <c r="B200" s="799"/>
    </row>
    <row r="201" spans="2:2" x14ac:dyDescent="0.3">
      <c r="B201" s="1120">
        <f>192/(192-B191)</f>
        <v>1.2307692307692308</v>
      </c>
    </row>
  </sheetData>
  <mergeCells count="26">
    <mergeCell ref="B149:C149"/>
    <mergeCell ref="B116:D116"/>
    <mergeCell ref="B122:E122"/>
    <mergeCell ref="B146:E146"/>
    <mergeCell ref="B134:C134"/>
    <mergeCell ref="B97:E97"/>
    <mergeCell ref="B82:D82"/>
    <mergeCell ref="B94:D94"/>
    <mergeCell ref="B109:E109"/>
    <mergeCell ref="B105:D105"/>
    <mergeCell ref="B29:H29"/>
    <mergeCell ref="B35:H35"/>
    <mergeCell ref="B13:B16"/>
    <mergeCell ref="J90:K90"/>
    <mergeCell ref="L90:M90"/>
    <mergeCell ref="B84:E84"/>
    <mergeCell ref="B88:E88"/>
    <mergeCell ref="B42:H42"/>
    <mergeCell ref="B52:C52"/>
    <mergeCell ref="B63:C63"/>
    <mergeCell ref="D63:E63"/>
    <mergeCell ref="F63:G63"/>
    <mergeCell ref="B62:I62"/>
    <mergeCell ref="B75:E75"/>
    <mergeCell ref="H63:I63"/>
    <mergeCell ref="J67:K67"/>
  </mergeCells>
  <pageMargins left="0.25" right="0.25" top="0.75" bottom="0.75" header="0.3" footer="0.3"/>
  <pageSetup paperSize="9"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P144"/>
  <sheetViews>
    <sheetView workbookViewId="0">
      <selection activeCell="R335" sqref="R335"/>
    </sheetView>
  </sheetViews>
  <sheetFormatPr baseColWidth="10" defaultRowHeight="13.2" x14ac:dyDescent="0.25"/>
  <cols>
    <col min="2" max="2" width="25.6640625" customWidth="1"/>
    <col min="3" max="3" width="21.33203125" hidden="1" customWidth="1"/>
    <col min="4" max="4" width="28.6640625" hidden="1" customWidth="1"/>
    <col min="5" max="5" width="28.6640625" style="799" customWidth="1"/>
    <col min="6" max="6" width="21.33203125" hidden="1" customWidth="1"/>
    <col min="7" max="7" width="26.109375" hidden="1" customWidth="1"/>
    <col min="8" max="8" width="27" hidden="1" customWidth="1"/>
    <col min="9" max="9" width="27" style="799" customWidth="1"/>
    <col min="10" max="10" width="23.6640625" customWidth="1"/>
    <col min="13" max="13" width="19.88671875" customWidth="1"/>
    <col min="14" max="14" width="18.109375" customWidth="1"/>
    <col min="15" max="15" width="18" customWidth="1"/>
    <col min="16" max="16" width="19.5546875" customWidth="1"/>
  </cols>
  <sheetData>
    <row r="4" spans="2:16" ht="13.8" thickBot="1" x14ac:dyDescent="0.3"/>
    <row r="5" spans="2:16" x14ac:dyDescent="0.25">
      <c r="B5" s="1545" t="s">
        <v>924</v>
      </c>
      <c r="C5" s="1546"/>
      <c r="D5" s="1546"/>
      <c r="E5" s="1546"/>
      <c r="F5" s="1546"/>
      <c r="G5" s="1546"/>
      <c r="H5" s="1546"/>
      <c r="I5" s="1546"/>
      <c r="J5" s="1547"/>
    </row>
    <row r="6" spans="2:16" ht="13.8" thickBot="1" x14ac:dyDescent="0.3">
      <c r="B6" s="1548"/>
      <c r="C6" s="1549"/>
      <c r="D6" s="1549"/>
      <c r="E6" s="1549"/>
      <c r="F6" s="1549"/>
      <c r="G6" s="1549"/>
      <c r="H6" s="1549"/>
      <c r="I6" s="1549"/>
      <c r="J6" s="1550"/>
    </row>
    <row r="7" spans="2:16" ht="13.8" thickBot="1" x14ac:dyDescent="0.3">
      <c r="B7" s="1525" t="s">
        <v>823</v>
      </c>
      <c r="C7" s="1526"/>
      <c r="D7" s="1526"/>
      <c r="E7" s="1526"/>
      <c r="F7" s="1526"/>
      <c r="G7" s="1526"/>
      <c r="H7" s="1526"/>
      <c r="I7" s="1526"/>
      <c r="J7" s="1527"/>
    </row>
    <row r="8" spans="2:16" ht="27" thickBot="1" x14ac:dyDescent="0.3">
      <c r="B8" s="928" t="s">
        <v>811</v>
      </c>
      <c r="C8" s="929" t="s">
        <v>812</v>
      </c>
      <c r="D8" s="929" t="s">
        <v>813</v>
      </c>
      <c r="E8" s="929" t="s">
        <v>813</v>
      </c>
      <c r="F8" s="929" t="s">
        <v>814</v>
      </c>
      <c r="G8" s="929" t="s">
        <v>790</v>
      </c>
      <c r="H8" s="930" t="s">
        <v>792</v>
      </c>
      <c r="I8" s="930" t="s">
        <v>925</v>
      </c>
      <c r="J8" s="931" t="s">
        <v>762</v>
      </c>
    </row>
    <row r="9" spans="2:16" x14ac:dyDescent="0.25">
      <c r="B9" s="937" t="s">
        <v>824</v>
      </c>
      <c r="C9" s="913"/>
      <c r="D9" s="913"/>
      <c r="E9" s="913"/>
      <c r="F9" s="913"/>
      <c r="G9" s="913"/>
      <c r="H9" s="914"/>
      <c r="I9" s="914"/>
      <c r="J9" s="915"/>
    </row>
    <row r="10" spans="2:16" ht="13.8" thickBot="1" x14ac:dyDescent="0.3">
      <c r="B10" s="938" t="s">
        <v>825</v>
      </c>
      <c r="C10" s="831"/>
      <c r="D10" s="939"/>
      <c r="E10" s="939"/>
      <c r="F10" s="831"/>
      <c r="G10" s="939"/>
      <c r="H10" s="831"/>
      <c r="I10" s="831"/>
      <c r="J10" s="831"/>
    </row>
    <row r="11" spans="2:16" ht="13.8" thickBot="1" x14ac:dyDescent="0.3">
      <c r="B11" s="935" t="s">
        <v>818</v>
      </c>
      <c r="C11" s="923" t="e">
        <f>#REF!/#REF!</f>
        <v>#REF!</v>
      </c>
      <c r="D11" s="923">
        <f>D9+M39*D10</f>
        <v>0</v>
      </c>
      <c r="E11" s="923"/>
      <c r="F11" s="923" t="e">
        <f>#REF!/#REF!</f>
        <v>#REF!</v>
      </c>
      <c r="G11" s="923">
        <f>G9+$N39*G10</f>
        <v>0</v>
      </c>
      <c r="H11" s="923" t="e">
        <f>#REF!/#REF!</f>
        <v>#REF!</v>
      </c>
      <c r="I11" s="1158"/>
      <c r="J11" s="924" t="e">
        <f>#REF!/#REF!</f>
        <v>#REF!</v>
      </c>
    </row>
    <row r="12" spans="2:16" s="799" customFormat="1" ht="13.8" thickBot="1" x14ac:dyDescent="0.3">
      <c r="B12" s="884"/>
      <c r="C12" s="1107"/>
      <c r="D12" s="1107"/>
      <c r="E12" s="1107"/>
      <c r="F12" s="1107"/>
      <c r="G12" s="1107"/>
      <c r="H12" s="1107"/>
      <c r="I12" s="1107"/>
      <c r="J12" s="1107"/>
    </row>
    <row r="13" spans="2:16" ht="13.8" thickBot="1" x14ac:dyDescent="0.3">
      <c r="B13" s="799"/>
      <c r="C13" s="799"/>
      <c r="D13" s="799"/>
      <c r="F13" s="799"/>
      <c r="G13" s="799"/>
      <c r="H13" s="799"/>
      <c r="J13" s="799"/>
      <c r="M13" s="1525" t="s">
        <v>995</v>
      </c>
      <c r="N13" s="1526"/>
      <c r="O13" s="1526"/>
      <c r="P13" s="1527"/>
    </row>
    <row r="14" spans="2:16" s="799" customFormat="1" ht="13.8" thickBot="1" x14ac:dyDescent="0.3">
      <c r="M14" s="1346">
        <v>3330</v>
      </c>
      <c r="N14" s="1346">
        <v>3326</v>
      </c>
      <c r="O14" s="1346">
        <v>3327</v>
      </c>
      <c r="P14" s="1346">
        <v>3329</v>
      </c>
    </row>
    <row r="15" spans="2:16" ht="13.8" thickBot="1" x14ac:dyDescent="0.3">
      <c r="B15" s="1525" t="s">
        <v>826</v>
      </c>
      <c r="C15" s="1526"/>
      <c r="D15" s="1526"/>
      <c r="E15" s="1526"/>
      <c r="F15" s="1526"/>
      <c r="G15" s="1526"/>
      <c r="H15" s="1526"/>
      <c r="I15" s="1526"/>
      <c r="J15" s="1527"/>
      <c r="M15">
        <v>5025</v>
      </c>
      <c r="N15">
        <v>5024</v>
      </c>
      <c r="O15">
        <v>5023</v>
      </c>
      <c r="P15">
        <v>5026</v>
      </c>
    </row>
    <row r="16" spans="2:16" ht="27" thickBot="1" x14ac:dyDescent="0.3">
      <c r="B16" s="928" t="s">
        <v>811</v>
      </c>
      <c r="C16" s="929" t="s">
        <v>812</v>
      </c>
      <c r="D16" s="929" t="s">
        <v>813</v>
      </c>
      <c r="E16" s="929" t="s">
        <v>813</v>
      </c>
      <c r="F16" s="929" t="s">
        <v>814</v>
      </c>
      <c r="G16" s="929" t="s">
        <v>790</v>
      </c>
      <c r="H16" s="930" t="s">
        <v>792</v>
      </c>
      <c r="I16" s="930" t="s">
        <v>951</v>
      </c>
      <c r="J16" s="931" t="s">
        <v>762</v>
      </c>
      <c r="M16" s="930" t="s">
        <v>951</v>
      </c>
      <c r="N16" s="930" t="s">
        <v>951</v>
      </c>
      <c r="O16" s="930" t="s">
        <v>951</v>
      </c>
      <c r="P16" s="930" t="s">
        <v>951</v>
      </c>
    </row>
    <row r="17" spans="2:16" x14ac:dyDescent="0.25">
      <c r="B17" s="937" t="s">
        <v>824</v>
      </c>
      <c r="C17" s="913"/>
      <c r="D17" s="913"/>
      <c r="E17" s="799">
        <v>186624434.38999999</v>
      </c>
      <c r="F17" s="913"/>
      <c r="G17" s="913"/>
      <c r="H17" s="914"/>
      <c r="I17" s="799">
        <v>78330859.730000004</v>
      </c>
      <c r="J17" s="915"/>
      <c r="M17" s="208">
        <v>104022081</v>
      </c>
      <c r="N17" s="799">
        <v>103535384</v>
      </c>
      <c r="O17" s="799">
        <v>103535384</v>
      </c>
      <c r="P17" s="208">
        <v>104022081</v>
      </c>
    </row>
    <row r="18" spans="2:16" ht="13.8" thickBot="1" x14ac:dyDescent="0.3">
      <c r="B18" s="938" t="s">
        <v>825</v>
      </c>
      <c r="C18" s="831"/>
      <c r="D18" s="939"/>
      <c r="E18" s="799">
        <v>106642533.94</v>
      </c>
      <c r="F18" s="831"/>
      <c r="G18" s="939"/>
      <c r="H18" s="831"/>
      <c r="I18" s="799">
        <v>90497737.560000002</v>
      </c>
      <c r="J18" s="831"/>
      <c r="M18" s="208">
        <v>96102895</v>
      </c>
      <c r="N18" s="208">
        <v>96102895</v>
      </c>
      <c r="O18" s="208">
        <v>96102895</v>
      </c>
      <c r="P18" s="208">
        <v>96102895</v>
      </c>
    </row>
    <row r="19" spans="2:16" ht="13.8" thickBot="1" x14ac:dyDescent="0.3">
      <c r="B19" s="935" t="s">
        <v>818</v>
      </c>
      <c r="C19" s="923" t="e">
        <f>#REF!/#REF!</f>
        <v>#REF!</v>
      </c>
      <c r="D19" s="923">
        <f>D17+M45*D18</f>
        <v>0</v>
      </c>
      <c r="E19" s="923">
        <f>SUM(E17:E18)</f>
        <v>293266968.32999998</v>
      </c>
      <c r="F19" s="923" t="e">
        <f>#REF!/#REF!</f>
        <v>#REF!</v>
      </c>
      <c r="G19" s="923">
        <f>G17+$M45*G18</f>
        <v>0</v>
      </c>
      <c r="H19" s="923" t="e">
        <f>#REF!/#REF!</f>
        <v>#REF!</v>
      </c>
      <c r="I19" s="1158">
        <f>SUM(I17:I18)</f>
        <v>168828597.29000002</v>
      </c>
      <c r="J19" s="924" t="e">
        <f>#REF!/#REF!</f>
        <v>#REF!</v>
      </c>
      <c r="M19" s="1158">
        <f>SUM(M17:M18)</f>
        <v>200124976</v>
      </c>
      <c r="N19" s="1158">
        <f>SUM(N17:N18)</f>
        <v>199638279</v>
      </c>
      <c r="O19" s="1158">
        <f>SUM(O17:O18)</f>
        <v>199638279</v>
      </c>
      <c r="P19" s="1158">
        <f>SUM(P17:P18)</f>
        <v>200124976</v>
      </c>
    </row>
    <row r="20" spans="2:16" s="799" customFormat="1" x14ac:dyDescent="0.25">
      <c r="B20" s="884"/>
      <c r="C20" s="1107"/>
      <c r="D20" s="1107"/>
      <c r="E20" s="1107"/>
      <c r="F20" s="1107"/>
      <c r="G20" s="1107"/>
      <c r="H20" s="1107"/>
      <c r="I20" s="1107"/>
      <c r="J20" s="1107"/>
      <c r="M20" s="1107"/>
      <c r="N20" s="1107"/>
      <c r="O20" s="1107"/>
      <c r="P20" s="1107"/>
    </row>
    <row r="21" spans="2:16" ht="39.6" x14ac:dyDescent="0.25">
      <c r="B21" s="799"/>
      <c r="C21" s="799"/>
      <c r="D21" s="799"/>
      <c r="F21" s="799"/>
      <c r="G21" s="799"/>
      <c r="H21" s="799"/>
      <c r="J21" s="799"/>
      <c r="M21" s="1245" t="s">
        <v>997</v>
      </c>
      <c r="N21" s="395">
        <f>(E19+I19+M19+N19+O19+P19)/6</f>
        <v>210270345.93666664</v>
      </c>
    </row>
    <row r="22" spans="2:16" ht="16.5" customHeight="1" thickBot="1" x14ac:dyDescent="0.3">
      <c r="B22" s="799"/>
      <c r="C22" s="799"/>
      <c r="D22" s="799"/>
      <c r="F22" s="799"/>
      <c r="G22" s="799"/>
      <c r="H22" s="799"/>
      <c r="J22" s="799"/>
    </row>
    <row r="23" spans="2:16" ht="13.8" thickBot="1" x14ac:dyDescent="0.3">
      <c r="B23" s="1525" t="s">
        <v>828</v>
      </c>
      <c r="C23" s="1526"/>
      <c r="D23" s="1526"/>
      <c r="E23" s="1526"/>
      <c r="F23" s="1526"/>
      <c r="G23" s="1526"/>
      <c r="H23" s="1526"/>
      <c r="I23" s="1526"/>
      <c r="J23" s="1527"/>
    </row>
    <row r="24" spans="2:16" ht="27" thickBot="1" x14ac:dyDescent="0.3">
      <c r="B24" s="928" t="s">
        <v>811</v>
      </c>
      <c r="C24" s="929" t="s">
        <v>812</v>
      </c>
      <c r="D24" s="929" t="s">
        <v>813</v>
      </c>
      <c r="E24" s="929" t="s">
        <v>813</v>
      </c>
      <c r="F24" s="929" t="s">
        <v>814</v>
      </c>
      <c r="G24" s="929" t="s">
        <v>790</v>
      </c>
      <c r="H24" s="930" t="s">
        <v>792</v>
      </c>
      <c r="I24" s="930" t="s">
        <v>925</v>
      </c>
      <c r="J24" s="931" t="s">
        <v>762</v>
      </c>
      <c r="M24" s="1245"/>
      <c r="N24" s="208"/>
      <c r="P24" s="208"/>
    </row>
    <row r="25" spans="2:16" x14ac:dyDescent="0.25">
      <c r="B25" s="937" t="s">
        <v>824</v>
      </c>
      <c r="C25" s="913"/>
      <c r="D25" s="913"/>
      <c r="E25" s="913"/>
      <c r="F25" s="913"/>
      <c r="G25" s="913"/>
      <c r="H25" s="914"/>
      <c r="I25" s="914"/>
      <c r="J25" s="915"/>
    </row>
    <row r="26" spans="2:16" x14ac:dyDescent="0.25">
      <c r="B26" s="938" t="s">
        <v>825</v>
      </c>
      <c r="C26" s="831"/>
      <c r="D26" s="939"/>
      <c r="E26" s="939"/>
      <c r="F26" s="831"/>
      <c r="G26" s="831"/>
      <c r="H26" s="831"/>
      <c r="I26" s="831"/>
      <c r="J26" s="831"/>
    </row>
    <row r="27" spans="2:16" ht="13.8" thickBot="1" x14ac:dyDescent="0.3">
      <c r="B27" s="943" t="s">
        <v>829</v>
      </c>
      <c r="C27" s="944"/>
      <c r="D27" s="945"/>
      <c r="E27" s="945"/>
      <c r="F27" s="831"/>
      <c r="G27" s="944"/>
      <c r="H27" s="944"/>
      <c r="I27" s="946"/>
      <c r="J27" s="946"/>
    </row>
    <row r="28" spans="2:16" ht="13.8" thickBot="1" x14ac:dyDescent="0.3">
      <c r="B28" s="935" t="s">
        <v>818</v>
      </c>
      <c r="C28" s="923" t="e">
        <f>#REF!/#REF!</f>
        <v>#REF!</v>
      </c>
      <c r="D28" s="923"/>
      <c r="E28" s="923"/>
      <c r="F28" s="923"/>
      <c r="G28" s="923"/>
      <c r="H28" s="923"/>
      <c r="I28" s="1158"/>
      <c r="J28" s="924" t="e">
        <f>#REF!/#REF!</f>
        <v>#REF!</v>
      </c>
    </row>
    <row r="30" spans="2:16" x14ac:dyDescent="0.25">
      <c r="C30" t="s">
        <v>993</v>
      </c>
      <c r="D30" t="s">
        <v>994</v>
      </c>
      <c r="I30" s="799" t="s">
        <v>996</v>
      </c>
      <c r="J30" s="1347">
        <v>1050</v>
      </c>
    </row>
    <row r="31" spans="2:16" x14ac:dyDescent="0.25">
      <c r="B31" t="s">
        <v>934</v>
      </c>
      <c r="C31" s="208"/>
      <c r="D31" s="208"/>
      <c r="E31" s="1121"/>
    </row>
    <row r="32" spans="2:16" x14ac:dyDescent="0.25">
      <c r="B32" s="799" t="s">
        <v>935</v>
      </c>
      <c r="C32" s="208">
        <f>(E19+I19)/2</f>
        <v>231047782.81</v>
      </c>
      <c r="E32" s="208">
        <f>(E19+I19+M19+N19+O19+P19)/6</f>
        <v>210270345.93666664</v>
      </c>
      <c r="I32" s="208">
        <f>E32/J30</f>
        <v>200257.4723206349</v>
      </c>
      <c r="J32" s="208"/>
    </row>
    <row r="33" spans="2:7" x14ac:dyDescent="0.25">
      <c r="B33" s="799" t="s">
        <v>936</v>
      </c>
      <c r="G33" t="s">
        <v>96</v>
      </c>
    </row>
    <row r="42" spans="2:7" x14ac:dyDescent="0.25">
      <c r="B42" t="s">
        <v>990</v>
      </c>
      <c r="C42" t="s">
        <v>989</v>
      </c>
    </row>
    <row r="76" spans="6:11" x14ac:dyDescent="0.25">
      <c r="F76">
        <v>78330859.730000004</v>
      </c>
      <c r="K76">
        <v>90497737.560000002</v>
      </c>
    </row>
    <row r="99" spans="2:4" x14ac:dyDescent="0.25">
      <c r="B99" s="799" t="s">
        <v>990</v>
      </c>
      <c r="C99" t="s">
        <v>991</v>
      </c>
      <c r="D99" t="s">
        <v>992</v>
      </c>
    </row>
    <row r="144" spans="6:12" x14ac:dyDescent="0.25">
      <c r="F144">
        <v>186624434.38999999</v>
      </c>
      <c r="L144">
        <v>106642533.94</v>
      </c>
    </row>
  </sheetData>
  <mergeCells count="5">
    <mergeCell ref="B7:J7"/>
    <mergeCell ref="B15:J15"/>
    <mergeCell ref="B23:J23"/>
    <mergeCell ref="B5:J6"/>
    <mergeCell ref="M13:P13"/>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19</vt:i4>
      </vt:variant>
      <vt:variant>
        <vt:lpstr>Rangos con nombre</vt:lpstr>
      </vt:variant>
      <vt:variant>
        <vt:i4>6</vt:i4>
      </vt:variant>
    </vt:vector>
  </HeadingPairs>
  <TitlesOfParts>
    <vt:vector size="25" baseType="lpstr">
      <vt:lpstr>Hoja de Calculo_prueba (2)</vt:lpstr>
      <vt:lpstr>Resumen de Calculo</vt:lpstr>
      <vt:lpstr>Resumen de Calculo 2017</vt:lpstr>
      <vt:lpstr> ERSEP </vt:lpstr>
      <vt:lpstr>INFORME</vt:lpstr>
      <vt:lpstr>Hoja Llave</vt:lpstr>
      <vt:lpstr>Resumen costos </vt:lpstr>
      <vt:lpstr>Facturas </vt:lpstr>
      <vt:lpstr>Vehículos</vt:lpstr>
      <vt:lpstr>Unidades</vt:lpstr>
      <vt:lpstr>Cantidades Fisicas</vt:lpstr>
      <vt:lpstr>FETAP_ASETAC +18%</vt:lpstr>
      <vt:lpstr>Facturasold</vt:lpstr>
      <vt:lpstr>Comentarios</vt:lpstr>
      <vt:lpstr>Hoja2</vt:lpstr>
      <vt:lpstr>2017</vt:lpstr>
      <vt:lpstr>Sueldo y patentes</vt:lpstr>
      <vt:lpstr>Criterios TBK HISTORICO </vt:lpstr>
      <vt:lpstr>INFO SECRETARIA</vt:lpstr>
      <vt:lpstr>' ERSEP '!Área_de_impresión</vt:lpstr>
      <vt:lpstr>Facturasold!Área_de_impresión</vt:lpstr>
      <vt:lpstr>'Hoja Llave'!Área_de_impresión</vt:lpstr>
      <vt:lpstr>'Resumen de Calculo'!Área_de_impresión</vt:lpstr>
      <vt:lpstr>'Resumen de Calculo 2017'!Área_de_impresión</vt:lpstr>
      <vt:lpstr>'Hoja Llave'!Títulos_a_imprimir</vt:lpstr>
    </vt:vector>
  </TitlesOfParts>
  <Company>S&amp;H</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Rodrigo Marionsini</dc:creator>
  <cp:lastModifiedBy>Windows User</cp:lastModifiedBy>
  <cp:lastPrinted>2024-04-16T13:55:51Z</cp:lastPrinted>
  <dcterms:created xsi:type="dcterms:W3CDTF">2009-02-05T22:54:18Z</dcterms:created>
  <dcterms:modified xsi:type="dcterms:W3CDTF">2025-04-12T21:43:47Z</dcterms:modified>
</cp:coreProperties>
</file>